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диоточка\6г.Кривой Рог\"/>
    </mc:Choice>
  </mc:AlternateContent>
  <xr:revisionPtr revIDLastSave="0" documentId="13_ncr:1_{7871571C-E450-4D51-9FF1-21247CAB16A2}" xr6:coauthVersionLast="47" xr6:coauthVersionMax="47" xr10:uidLastSave="{00000000-0000-0000-0000-000000000000}"/>
  <bookViews>
    <workbookView xWindow="-23136" yWindow="-96" windowWidth="22200" windowHeight="13152" tabRatio="531" xr2:uid="{00000000-000D-0000-FFFF-FFFF00000000}"/>
  </bookViews>
  <sheets>
    <sheet name="Кривой Рог" sheetId="1" r:id="rId1"/>
  </sheets>
  <definedNames>
    <definedName name="_xlnm._FilterDatabase" localSheetId="0" hidden="1">'Кривой Рог'!$A$9:$AH$22</definedName>
    <definedName name="vDay" localSheetId="0">'Кривой Рог'!$W$3</definedName>
    <definedName name="vMonth">'Кривой Рог'!$W$4</definedName>
    <definedName name="vPos">'Кривой Рог'!$W$5</definedName>
    <definedName name="vRolik_koef" localSheetId="0">'Кривой Рог'!$A$1</definedName>
    <definedName name="vRolik_len" localSheetId="0">'Кривой Рог'!$W$2</definedName>
    <definedName name="vSec1" localSheetId="0">'Кривой Рог'!$W$2</definedName>
    <definedName name="vSpot_koef">'Кривой Рог'!$AC$2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1" l="1"/>
  <c r="F17" i="1"/>
  <c r="G16" i="1"/>
  <c r="F16" i="1"/>
  <c r="F14" i="1"/>
  <c r="F12" i="1"/>
  <c r="G12" i="1"/>
  <c r="G11" i="1"/>
  <c r="F11" i="1"/>
  <c r="F15" i="1"/>
  <c r="F22" i="1"/>
  <c r="F24" i="1"/>
  <c r="F21" i="1"/>
  <c r="F23" i="1"/>
  <c r="F13" i="1"/>
  <c r="F18" i="1"/>
  <c r="F19" i="1"/>
  <c r="AF25" i="1"/>
  <c r="L25" i="1"/>
  <c r="L24" i="1"/>
  <c r="L23" i="1"/>
  <c r="L22" i="1"/>
  <c r="L21" i="1"/>
  <c r="L19" i="1"/>
  <c r="L18" i="1"/>
  <c r="L15" i="1"/>
  <c r="L14" i="1"/>
  <c r="L13" i="1"/>
  <c r="M25" i="1"/>
  <c r="M24" i="1"/>
  <c r="M23" i="1"/>
  <c r="M22" i="1"/>
  <c r="M21" i="1"/>
  <c r="M19" i="1"/>
  <c r="M18" i="1"/>
  <c r="M15" i="1"/>
  <c r="M14" i="1"/>
  <c r="M13" i="1"/>
  <c r="F25" i="1"/>
  <c r="N25" i="1" l="1"/>
  <c r="AG25" i="1" s="1"/>
  <c r="AJ25" i="1" s="1"/>
  <c r="AF24" i="1"/>
  <c r="AK25" i="1" l="1"/>
  <c r="E25" i="1"/>
  <c r="AF18" i="1"/>
  <c r="L20" i="1"/>
  <c r="M17" i="1" l="1"/>
  <c r="M16" i="1"/>
  <c r="M12" i="1"/>
  <c r="M11" i="1"/>
  <c r="AF15" i="1"/>
  <c r="AF23" i="1"/>
  <c r="AF14" i="1"/>
  <c r="N15" i="1" l="1"/>
  <c r="AG15" i="1" l="1"/>
  <c r="L17" i="1"/>
  <c r="L16" i="1"/>
  <c r="L11" i="1"/>
  <c r="L12" i="1"/>
  <c r="AJ15" i="1" l="1"/>
  <c r="E15" i="1" s="1"/>
  <c r="AF20" i="1"/>
  <c r="AK15" i="1" l="1"/>
  <c r="AF22" i="1"/>
  <c r="AF21" i="1"/>
  <c r="AF19" i="1"/>
  <c r="AF13" i="1"/>
  <c r="AF17" i="1"/>
  <c r="AF16" i="1"/>
  <c r="AF12" i="1"/>
  <c r="AF11" i="1"/>
  <c r="AF26" i="1" l="1"/>
  <c r="AC2" i="1"/>
  <c r="N18" i="1" l="1"/>
  <c r="AG18" i="1" s="1"/>
  <c r="N24" i="1"/>
  <c r="N14" i="1"/>
  <c r="AG14" i="1" s="1"/>
  <c r="N19" i="1"/>
  <c r="N23" i="1"/>
  <c r="AG23" i="1" s="1"/>
  <c r="M20" i="1"/>
  <c r="N20" i="1" s="1"/>
  <c r="E20" i="1" s="1"/>
  <c r="N21" i="1"/>
  <c r="AG21" i="1" s="1"/>
  <c r="N22" i="1"/>
  <c r="AG22" i="1" s="1"/>
  <c r="N16" i="1"/>
  <c r="N17" i="1"/>
  <c r="N13" i="1"/>
  <c r="AG13" i="1" s="1"/>
  <c r="N11" i="1"/>
  <c r="AG19" i="1" l="1"/>
  <c r="AJ19" i="1" s="1"/>
  <c r="E19" i="1" s="1"/>
  <c r="AG24" i="1"/>
  <c r="AJ24" i="1" s="1"/>
  <c r="AJ18" i="1"/>
  <c r="AJ14" i="1"/>
  <c r="E14" i="1" s="1"/>
  <c r="AJ23" i="1"/>
  <c r="E23" i="1" s="1"/>
  <c r="AJ13" i="1"/>
  <c r="E13" i="1" s="1"/>
  <c r="AG17" i="1"/>
  <c r="AJ17" i="1" s="1"/>
  <c r="E17" i="1" s="1"/>
  <c r="AJ21" i="1"/>
  <c r="E21" i="1" s="1"/>
  <c r="AJ22" i="1"/>
  <c r="E22" i="1" s="1"/>
  <c r="AG20" i="1"/>
  <c r="AG16" i="1"/>
  <c r="AJ16" i="1" s="1"/>
  <c r="E16" i="1" s="1"/>
  <c r="AG11" i="1"/>
  <c r="N12" i="1"/>
  <c r="AJ11" i="1" l="1"/>
  <c r="E11" i="1" s="1"/>
  <c r="AK24" i="1"/>
  <c r="E24" i="1"/>
  <c r="AK18" i="1"/>
  <c r="E18" i="1"/>
  <c r="AJ20" i="1"/>
  <c r="AK20" i="1" s="1"/>
  <c r="AK23" i="1"/>
  <c r="AK19" i="1"/>
  <c r="AK22" i="1"/>
  <c r="AK21" i="1"/>
  <c r="AK14" i="1"/>
  <c r="AG12" i="1"/>
  <c r="AJ12" i="1" s="1"/>
  <c r="AK17" i="1"/>
  <c r="AK16" i="1"/>
  <c r="AK13" i="1"/>
  <c r="A1" i="1"/>
  <c r="AJ26" i="1" l="1"/>
  <c r="E12" i="1"/>
  <c r="AK11" i="1"/>
  <c r="AK12" i="1"/>
  <c r="AG26" i="1"/>
  <c r="AK26" i="1" l="1"/>
  <c r="AH2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Дмитрий Сокольников</author>
  </authors>
  <commentList>
    <comment ref="O4" authorId="0" shapeId="0" xr:uid="{00000000-0006-0000-0000-000001000000}">
      <text>
        <r>
          <rPr>
            <b/>
            <sz val="11"/>
            <color indexed="81"/>
            <rFont val="Calibri"/>
            <family val="2"/>
            <charset val="204"/>
            <scheme val="minor"/>
          </rPr>
          <t>На большинстве станций применяются коэффициенты сезонности:
Ноябрь + 10%
Декабрь + 20%</t>
        </r>
      </text>
    </comment>
    <comment ref="E7" authorId="0" shapeId="0" xr:uid="{00000000-0006-0000-0000-000002000000}">
      <text>
        <r>
          <rPr>
            <b/>
            <sz val="11"/>
            <color indexed="81"/>
            <rFont val="Calibri"/>
            <family val="2"/>
            <charset val="204"/>
            <scheme val="minor"/>
          </rPr>
          <t xml:space="preserve">Данная цена просчитана для средней рекламной кампании 20-сек ролика на 14 дней в октябре 2018 г.
Фактическая цена одного 
выхода определяеться
многими параметрами:
- прайсовая цена
- время выхода
- коэф. сезонности (месяц выхода)
Дополнительно возможно:
 - номер выхода в блоке
- бонусная скидка и др.
</t>
        </r>
      </text>
    </comment>
  </commentList>
</comments>
</file>

<file path=xl/sharedStrings.xml><?xml version="1.0" encoding="utf-8"?>
<sst xmlns="http://schemas.openxmlformats.org/spreadsheetml/2006/main" count="101" uniqueCount="100">
  <si>
    <t>7ч</t>
  </si>
  <si>
    <t>8ч</t>
  </si>
  <si>
    <t>9ч</t>
  </si>
  <si>
    <t>10ч</t>
  </si>
  <si>
    <t>11ч</t>
  </si>
  <si>
    <t>12ч</t>
  </si>
  <si>
    <t>13ч</t>
  </si>
  <si>
    <t>14ч</t>
  </si>
  <si>
    <t>15ч</t>
  </si>
  <si>
    <t>16ч</t>
  </si>
  <si>
    <t>17ч</t>
  </si>
  <si>
    <t>18ч</t>
  </si>
  <si>
    <t>19ч</t>
  </si>
  <si>
    <t>20ч</t>
  </si>
  <si>
    <t>21ч</t>
  </si>
  <si>
    <t>22ч</t>
  </si>
  <si>
    <t>23ч</t>
  </si>
  <si>
    <t>Наше радио</t>
  </si>
  <si>
    <t>Хит FM</t>
  </si>
  <si>
    <t>Roks</t>
  </si>
  <si>
    <t>Relax FM</t>
  </si>
  <si>
    <t>radiotochka.net.ua@gmail.com</t>
  </si>
  <si>
    <t>www.radiotochka.net.ua</t>
  </si>
  <si>
    <t>Сумма</t>
  </si>
  <si>
    <t>грн</t>
  </si>
  <si>
    <t>Power FM</t>
  </si>
  <si>
    <t>(за весь период)</t>
  </si>
  <si>
    <t>Ц1</t>
  </si>
  <si>
    <t>Ц2</t>
  </si>
  <si>
    <t>Ц3</t>
  </si>
  <si>
    <t>Ц4</t>
  </si>
  <si>
    <t>Ц5</t>
  </si>
  <si>
    <t>Ц6</t>
  </si>
  <si>
    <t>Скидка</t>
  </si>
  <si>
    <t>%</t>
  </si>
  <si>
    <t>К. сезон</t>
  </si>
  <si>
    <t>К. длинны</t>
  </si>
  <si>
    <t>К. Итог</t>
  </si>
  <si>
    <t>radiotochka.net.ua</t>
  </si>
  <si>
    <t>FM</t>
  </si>
  <si>
    <t>Фактическая</t>
  </si>
  <si>
    <t>выхода, грн</t>
  </si>
  <si>
    <t>цена одного</t>
  </si>
  <si>
    <t>Перец FM</t>
  </si>
  <si>
    <t>Країна</t>
  </si>
  <si>
    <t>Авторадио</t>
  </si>
  <si>
    <t>Пятница</t>
  </si>
  <si>
    <t>Люкс</t>
  </si>
  <si>
    <t>106.9</t>
  </si>
  <si>
    <t>105.9</t>
  </si>
  <si>
    <t>104.3</t>
  </si>
  <si>
    <t>104.7</t>
  </si>
  <si>
    <t>103.2</t>
  </si>
  <si>
    <t>102.7</t>
  </si>
  <si>
    <t>101.0</t>
  </si>
  <si>
    <t>99.1</t>
  </si>
  <si>
    <t>104.4</t>
  </si>
  <si>
    <t>100.2</t>
  </si>
  <si>
    <t>105.2</t>
  </si>
  <si>
    <t>103.6</t>
  </si>
  <si>
    <t>91.6</t>
  </si>
  <si>
    <t>Кривбас</t>
  </si>
  <si>
    <t>102.5</t>
  </si>
  <si>
    <t>93.5</t>
  </si>
  <si>
    <t>DJ FM</t>
  </si>
  <si>
    <t>Мегаполис</t>
  </si>
  <si>
    <t>Шлягер ФМ</t>
  </si>
  <si>
    <t>Байрактар</t>
  </si>
  <si>
    <t>Тривалисть ролика, сек -</t>
  </si>
  <si>
    <t xml:space="preserve">Кількість дней - </t>
  </si>
  <si>
    <t xml:space="preserve">Місяц - </t>
  </si>
  <si>
    <t>КРИВІЙ РІГ</t>
  </si>
  <si>
    <t>Радіо</t>
  </si>
  <si>
    <t>Середня</t>
  </si>
  <si>
    <t>ціна</t>
  </si>
  <si>
    <t>вихід/грн</t>
  </si>
  <si>
    <t>Час выходу</t>
  </si>
  <si>
    <t xml:space="preserve">Всього </t>
  </si>
  <si>
    <t>виходів</t>
  </si>
  <si>
    <t>без ПДВ</t>
  </si>
  <si>
    <t>Сума, без ндс</t>
  </si>
  <si>
    <t>Сума,</t>
  </si>
  <si>
    <t>Дмитро Сокольніков</t>
  </si>
  <si>
    <t>097 528-83-78 (viber)</t>
  </si>
  <si>
    <t>Січень 2025</t>
  </si>
  <si>
    <t>Лютий 2025</t>
  </si>
  <si>
    <t>Березень 2025</t>
  </si>
  <si>
    <t>Квітень 2025</t>
  </si>
  <si>
    <t>Травень 2025</t>
  </si>
  <si>
    <t>Червень 2025</t>
  </si>
  <si>
    <t>Липень 2025</t>
  </si>
  <si>
    <t>Серпень 2025</t>
  </si>
  <si>
    <t>Вересень 2025</t>
  </si>
  <si>
    <t>Жовтень 2025</t>
  </si>
  <si>
    <t>Листопад 2025</t>
  </si>
  <si>
    <t>Грудень 2025</t>
  </si>
  <si>
    <t>разміщення рекламы на радіо</t>
  </si>
  <si>
    <t>Охоплення</t>
  </si>
  <si>
    <t>за тиждень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</si>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</sst>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₽_-;\-* #,##0.00\ _₽_-;_-* &quot;-&quot;??\ _₽_-;_-@_-"/>
    <numFmt numFmtId="165" formatCode="#,##0_ ;\-#,##0\ "/>
    <numFmt numFmtId="166" formatCode="0.0"/>
    <numFmt numFmtId="167" formatCode="0.0%"/>
  </numFmts>
  <fonts count="2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rgb="FF808080"/>
      <name val="Calibri"/>
      <family val="2"/>
      <charset val="204"/>
      <scheme val="minor"/>
    </font>
    <font>
      <b/>
      <sz val="12"/>
      <color theme="1" tint="0.249977111117893"/>
      <name val="Calibri"/>
      <family val="2"/>
      <charset val="204"/>
      <scheme val="minor"/>
    </font>
    <font>
      <sz val="11"/>
      <color theme="0" tint="-0.34998626667073579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1"/>
      <color theme="0" tint="-0.34998626667073579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  <scheme val="minor"/>
    </font>
    <font>
      <sz val="11"/>
      <color theme="1" tint="0.34998626667073579"/>
      <name val="Calibri"/>
      <family val="2"/>
      <charset val="204"/>
      <scheme val="minor"/>
    </font>
    <font>
      <sz val="10"/>
      <color theme="1" tint="0.34998626667073579"/>
      <name val="Calibri"/>
      <family val="2"/>
      <charset val="204"/>
      <scheme val="minor"/>
    </font>
    <font>
      <b/>
      <sz val="12"/>
      <color theme="1" tint="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8"/>
      <color indexed="8"/>
      <name val="Arial"/>
      <family val="2"/>
      <charset val="204"/>
    </font>
    <font>
      <sz val="11"/>
      <color theme="0" tint="-0.14999847407452621"/>
      <name val="Calibri"/>
      <family val="2"/>
      <charset val="204"/>
      <scheme val="minor"/>
    </font>
    <font>
      <sz val="11"/>
      <color rgb="FF595959"/>
      <name val="Calibri"/>
      <family val="2"/>
      <charset val="204"/>
    </font>
    <font>
      <b/>
      <sz val="11"/>
      <color indexed="81"/>
      <name val="Calibri"/>
      <family val="2"/>
      <charset val="204"/>
      <scheme val="minor"/>
    </font>
    <font>
      <sz val="11"/>
      <color theme="1" tint="0.249977111117893"/>
      <name val="Calibri"/>
      <family val="2"/>
      <charset val="204"/>
      <scheme val="minor"/>
    </font>
    <font>
      <i/>
      <sz val="11"/>
      <color theme="1" tint="0.249977111117893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10"/>
      <color theme="0" tint="-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</font>
    <font>
      <b/>
      <sz val="11"/>
      <color theme="1" tint="0.499984740745262"/>
      <name val="Calibri"/>
      <family val="2"/>
      <charset val="204"/>
    </font>
    <font>
      <b/>
      <sz val="10"/>
      <color theme="1" tint="0.34998626667073579"/>
      <name val="Calibri"/>
      <family val="2"/>
      <charset val="204"/>
      <scheme val="minor"/>
    </font>
    <font>
      <b/>
      <sz val="11"/>
      <color theme="1" tint="0.49998474074526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D34C"/>
        <bgColor indexed="64"/>
      </patternFill>
    </fill>
    <fill>
      <patternFill patternType="solid">
        <fgColor rgb="FFFFE07F"/>
        <bgColor indexed="64"/>
      </patternFill>
    </fill>
    <fill>
      <patternFill patternType="solid">
        <fgColor rgb="FFFFCD33"/>
        <bgColor indexed="64"/>
      </patternFill>
    </fill>
    <fill>
      <patternFill patternType="solid">
        <fgColor rgb="FFFFD03F"/>
        <bgColor indexed="64"/>
      </patternFill>
    </fill>
    <fill>
      <patternFill patternType="solid">
        <fgColor rgb="FFFFC619"/>
        <bgColor indexed="64"/>
      </patternFill>
    </fill>
    <fill>
      <patternFill patternType="solid">
        <fgColor rgb="FFFFE38C"/>
        <bgColor indexed="64"/>
      </patternFill>
    </fill>
    <fill>
      <patternFill patternType="solid">
        <fgColor rgb="FFFFD65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D72"/>
        <bgColor indexed="64"/>
      </patternFill>
    </fill>
    <fill>
      <patternFill patternType="solid">
        <fgColor rgb="FFFFC30C"/>
        <bgColor indexed="64"/>
      </patternFill>
    </fill>
    <fill>
      <patternFill patternType="solid">
        <fgColor rgb="FFFFE9A5"/>
        <bgColor indexed="64"/>
      </patternFill>
    </fill>
    <fill>
      <patternFill patternType="solid">
        <fgColor rgb="FFFFCA2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DA66"/>
        <bgColor indexed="64"/>
      </patternFill>
    </fill>
    <fill>
      <patternFill patternType="solid">
        <fgColor rgb="FFFFECB2"/>
        <bgColor indexed="64"/>
      </patternFill>
    </fill>
    <fill>
      <patternFill patternType="solid">
        <fgColor rgb="FFFFF0BF"/>
        <bgColor indexed="64"/>
      </patternFill>
    </fill>
    <fill>
      <patternFill patternType="solid">
        <fgColor rgb="FFFFF3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9" tint="-0.2499465926084170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</borders>
  <cellStyleXfs count="21">
    <xf numFmtId="0" fontId="0" fillId="0" borderId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2" fillId="4" borderId="0" applyNumberFormat="0" applyFont="0" applyBorder="0" applyAlignment="0" applyProtection="0">
      <alignment horizontal="center"/>
      <protection hidden="1"/>
    </xf>
    <xf numFmtId="9" fontId="12" fillId="5" borderId="0" applyNumberFormat="0" applyFont="0" applyBorder="0" applyAlignment="0" applyProtection="0">
      <alignment horizontal="center"/>
      <protection hidden="1"/>
    </xf>
    <xf numFmtId="9" fontId="12" fillId="6" borderId="0" applyNumberFormat="0" applyFont="0" applyBorder="0" applyAlignment="0" applyProtection="0">
      <alignment horizontal="center"/>
      <protection hidden="1"/>
    </xf>
    <xf numFmtId="9" fontId="12" fillId="7" borderId="0" applyNumberFormat="0" applyFont="0" applyBorder="0" applyAlignment="0" applyProtection="0">
      <alignment horizontal="center"/>
      <protection hidden="1"/>
    </xf>
    <xf numFmtId="9" fontId="12" fillId="8" borderId="0" applyNumberFormat="0" applyFont="0" applyBorder="0" applyAlignment="0" applyProtection="0">
      <alignment horizontal="center"/>
      <protection hidden="1"/>
    </xf>
    <xf numFmtId="9" fontId="12" fillId="9" borderId="0" applyNumberFormat="0" applyFont="0" applyBorder="0" applyAlignment="0" applyProtection="0">
      <alignment horizontal="center"/>
      <protection hidden="1"/>
    </xf>
    <xf numFmtId="9" fontId="12" fillId="10" borderId="0" applyNumberFormat="0" applyFont="0" applyBorder="0" applyAlignment="0" applyProtection="0">
      <alignment horizontal="center"/>
      <protection hidden="1"/>
    </xf>
    <xf numFmtId="9" fontId="12" fillId="11" borderId="0" applyNumberFormat="0" applyFont="0" applyBorder="0" applyAlignment="0" applyProtection="0">
      <alignment horizontal="center"/>
      <protection hidden="1"/>
    </xf>
    <xf numFmtId="9" fontId="12" fillId="12" borderId="0" applyNumberFormat="0" applyFont="0" applyBorder="0" applyAlignment="0" applyProtection="0">
      <alignment horizontal="center"/>
      <protection hidden="1"/>
    </xf>
    <xf numFmtId="9" fontId="12" fillId="13" borderId="0" applyNumberFormat="0" applyFont="0" applyBorder="0" applyAlignment="0" applyProtection="0">
      <alignment horizontal="center"/>
      <protection hidden="1"/>
    </xf>
    <xf numFmtId="9" fontId="12" fillId="14" borderId="0" applyNumberFormat="0" applyFont="0" applyBorder="0" applyAlignment="0" applyProtection="0">
      <alignment horizontal="center"/>
      <protection hidden="1"/>
    </xf>
    <xf numFmtId="9" fontId="12" fillId="15" borderId="0" applyNumberFormat="0" applyFont="0" applyBorder="0" applyAlignment="0" applyProtection="0">
      <alignment horizontal="center"/>
      <protection hidden="1"/>
    </xf>
    <xf numFmtId="9" fontId="12" fillId="16" borderId="0" applyNumberFormat="0" applyFont="0" applyBorder="0" applyAlignment="0" applyProtection="0">
      <alignment horizontal="center"/>
      <protection hidden="1"/>
    </xf>
    <xf numFmtId="4" fontId="14" fillId="17" borderId="2" applyProtection="0">
      <alignment horizontal="right" vertical="top"/>
    </xf>
    <xf numFmtId="9" fontId="12" fillId="18" borderId="0" applyNumberFormat="0" applyFont="0" applyBorder="0" applyAlignment="0" applyProtection="0">
      <alignment horizontal="center"/>
      <protection hidden="1"/>
    </xf>
    <xf numFmtId="9" fontId="12" fillId="19" borderId="0" applyNumberFormat="0" applyFont="0" applyBorder="0" applyAlignment="0" applyProtection="0">
      <alignment horizontal="center"/>
      <protection hidden="1"/>
    </xf>
    <xf numFmtId="9" fontId="12" fillId="20" borderId="0" applyNumberFormat="0" applyFont="0" applyBorder="0" applyAlignment="0" applyProtection="0">
      <alignment horizontal="center"/>
      <protection hidden="1"/>
    </xf>
    <xf numFmtId="9" fontId="12" fillId="21" borderId="0" applyNumberFormat="0" applyFont="0" applyBorder="0" applyAlignment="0" applyProtection="0">
      <alignment horizontal="center"/>
      <protection hidden="1"/>
    </xf>
  </cellStyleXfs>
  <cellXfs count="94">
    <xf numFmtId="0" fontId="0" fillId="0" borderId="0" xfId="0"/>
    <xf numFmtId="0" fontId="2" fillId="0" borderId="0" xfId="0" applyFont="1" applyProtection="1">
      <protection locked="0" hidden="1"/>
    </xf>
    <xf numFmtId="0" fontId="0" fillId="0" borderId="0" xfId="0" applyProtection="1">
      <protection locked="0" hidden="1"/>
    </xf>
    <xf numFmtId="0" fontId="5" fillId="0" borderId="0" xfId="0" applyFont="1" applyProtection="1">
      <protection locked="0" hidden="1"/>
    </xf>
    <xf numFmtId="0" fontId="18" fillId="0" borderId="0" xfId="0" applyFont="1" applyProtection="1">
      <protection locked="0" hidden="1"/>
    </xf>
    <xf numFmtId="0" fontId="9" fillId="0" borderId="0" xfId="0" applyFont="1" applyProtection="1">
      <protection locked="0" hidden="1"/>
    </xf>
    <xf numFmtId="166" fontId="2" fillId="0" borderId="0" xfId="0" applyNumberFormat="1" applyFont="1" applyProtection="1">
      <protection locked="0" hidden="1"/>
    </xf>
    <xf numFmtId="9" fontId="2" fillId="0" borderId="0" xfId="0" applyNumberFormat="1" applyFont="1" applyProtection="1">
      <protection locked="0" hidden="1"/>
    </xf>
    <xf numFmtId="0" fontId="3" fillId="0" borderId="0" xfId="0" applyFont="1" applyProtection="1">
      <protection locked="0" hidden="1"/>
    </xf>
    <xf numFmtId="0" fontId="21" fillId="0" borderId="0" xfId="0" applyFont="1" applyProtection="1">
      <protection locked="0" hidden="1"/>
    </xf>
    <xf numFmtId="0" fontId="8" fillId="0" borderId="0" xfId="0" applyFont="1" applyAlignment="1" applyProtection="1">
      <alignment horizontal="center" vertical="center" wrapText="1"/>
      <protection locked="0" hidden="1"/>
    </xf>
    <xf numFmtId="0" fontId="8" fillId="0" borderId="0" xfId="0" applyFont="1" applyAlignment="1" applyProtection="1">
      <alignment horizontal="center" vertical="center"/>
      <protection locked="0" hidden="1"/>
    </xf>
    <xf numFmtId="0" fontId="7" fillId="0" borderId="0" xfId="0" applyFont="1" applyAlignment="1" applyProtection="1">
      <alignment horizontal="left" vertical="center"/>
      <protection locked="0" hidden="1"/>
    </xf>
    <xf numFmtId="17" fontId="0" fillId="0" borderId="0" xfId="0" applyNumberFormat="1" applyProtection="1">
      <protection locked="0" hidden="1"/>
    </xf>
    <xf numFmtId="0" fontId="8" fillId="0" borderId="0" xfId="0" applyFont="1" applyAlignment="1" applyProtection="1">
      <alignment horizontal="center"/>
      <protection locked="0" hidden="1"/>
    </xf>
    <xf numFmtId="0" fontId="6" fillId="0" borderId="0" xfId="0" applyFont="1" applyAlignment="1" applyProtection="1">
      <alignment horizontal="center" vertical="top"/>
      <protection locked="0" hidden="1"/>
    </xf>
    <xf numFmtId="0" fontId="6" fillId="0" borderId="0" xfId="0" applyFont="1" applyAlignment="1" applyProtection="1">
      <alignment horizontal="center" vertical="top" wrapText="1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49" fontId="20" fillId="0" borderId="0" xfId="0" applyNumberFormat="1" applyFont="1" applyAlignment="1" applyProtection="1">
      <alignment vertical="center"/>
      <protection locked="0" hidden="1"/>
    </xf>
    <xf numFmtId="0" fontId="8" fillId="0" borderId="0" xfId="0" applyFont="1" applyAlignment="1" applyProtection="1">
      <alignment horizontal="center" wrapText="1"/>
      <protection locked="0" hidden="1"/>
    </xf>
    <xf numFmtId="1" fontId="0" fillId="0" borderId="0" xfId="0" applyNumberFormat="1" applyProtection="1">
      <protection locked="0" hidden="1"/>
    </xf>
    <xf numFmtId="1" fontId="6" fillId="0" borderId="0" xfId="0" applyNumberFormat="1" applyFont="1" applyProtection="1">
      <protection locked="0" hidden="1"/>
    </xf>
    <xf numFmtId="0" fontId="9" fillId="0" borderId="0" xfId="0" applyFont="1" applyAlignment="1" applyProtection="1">
      <alignment textRotation="90"/>
      <protection locked="0" hidden="1"/>
    </xf>
    <xf numFmtId="49" fontId="6" fillId="0" borderId="0" xfId="0" applyNumberFormat="1" applyFont="1" applyAlignment="1" applyProtection="1">
      <alignment horizontal="right"/>
      <protection locked="0" hidden="1"/>
    </xf>
    <xf numFmtId="0" fontId="0" fillId="0" borderId="0" xfId="0" applyAlignment="1" applyProtection="1">
      <alignment horizontal="left" vertical="center" indent="1"/>
      <protection locked="0" hidden="1"/>
    </xf>
    <xf numFmtId="1" fontId="22" fillId="0" borderId="0" xfId="0" applyNumberFormat="1" applyFont="1" applyAlignment="1" applyProtection="1">
      <alignment horizontal="center"/>
      <protection locked="0" hidden="1"/>
    </xf>
    <xf numFmtId="166" fontId="0" fillId="0" borderId="0" xfId="0" applyNumberFormat="1" applyAlignment="1" applyProtection="1">
      <alignment horizontal="center"/>
      <protection locked="0" hidden="1"/>
    </xf>
    <xf numFmtId="0" fontId="10" fillId="3" borderId="0" xfId="0" applyFont="1" applyFill="1" applyAlignment="1" applyProtection="1">
      <alignment horizontal="center"/>
      <protection locked="0" hidden="1"/>
    </xf>
    <xf numFmtId="3" fontId="10" fillId="0" borderId="0" xfId="0" applyNumberFormat="1" applyFont="1" applyAlignment="1" applyProtection="1">
      <alignment horizontal="center"/>
      <protection locked="0" hidden="1"/>
    </xf>
    <xf numFmtId="9" fontId="10" fillId="0" borderId="0" xfId="2" applyFont="1" applyFill="1" applyBorder="1" applyAlignment="1" applyProtection="1">
      <alignment horizontal="center"/>
      <protection locked="0" hidden="1"/>
    </xf>
    <xf numFmtId="3" fontId="25" fillId="3" borderId="0" xfId="0" applyNumberFormat="1" applyFont="1" applyFill="1" applyAlignment="1" applyProtection="1">
      <alignment horizontal="center"/>
      <protection locked="0" hidden="1"/>
    </xf>
    <xf numFmtId="3" fontId="21" fillId="3" borderId="0" xfId="0" applyNumberFormat="1" applyFont="1" applyFill="1" applyAlignment="1" applyProtection="1">
      <alignment horizontal="center"/>
      <protection locked="0" hidden="1"/>
    </xf>
    <xf numFmtId="1" fontId="12" fillId="0" borderId="0" xfId="0" applyNumberFormat="1" applyFont="1" applyAlignment="1" applyProtection="1">
      <alignment horizontal="center"/>
      <protection locked="0" hidden="1"/>
    </xf>
    <xf numFmtId="1" fontId="23" fillId="0" borderId="0" xfId="4" applyNumberFormat="1" applyFont="1" applyFill="1" applyBorder="1" applyAlignment="1" applyProtection="1">
      <alignment horizontal="center"/>
      <protection locked="0" hidden="1"/>
    </xf>
    <xf numFmtId="1" fontId="5" fillId="0" borderId="0" xfId="0" applyNumberFormat="1" applyFont="1" applyProtection="1">
      <protection locked="0" hidden="1"/>
    </xf>
    <xf numFmtId="0" fontId="9" fillId="0" borderId="0" xfId="0" applyFont="1" applyAlignment="1" applyProtection="1">
      <alignment vertical="center" textRotation="90"/>
      <protection locked="0" hidden="1"/>
    </xf>
    <xf numFmtId="49" fontId="6" fillId="0" borderId="0" xfId="0" applyNumberFormat="1" applyFont="1" applyAlignment="1" applyProtection="1">
      <alignment horizontal="right" vertical="center"/>
      <protection locked="0" hidden="1"/>
    </xf>
    <xf numFmtId="1" fontId="24" fillId="4" borderId="0" xfId="3" applyNumberFormat="1" applyFont="1" applyBorder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right"/>
      <protection locked="0" hidden="1"/>
    </xf>
    <xf numFmtId="0" fontId="4" fillId="2" borderId="0" xfId="0" applyFont="1" applyFill="1" applyAlignment="1" applyProtection="1">
      <alignment horizontal="left" indent="1"/>
      <protection locked="0" hidden="1"/>
    </xf>
    <xf numFmtId="0" fontId="8" fillId="2" borderId="0" xfId="0" applyFont="1" applyFill="1" applyAlignment="1" applyProtection="1">
      <alignment horizontal="left" indent="1"/>
      <protection locked="0" hidden="1"/>
    </xf>
    <xf numFmtId="0" fontId="11" fillId="2" borderId="0" xfId="0" applyFont="1" applyFill="1" applyAlignment="1" applyProtection="1">
      <alignment horizontal="left" indent="1"/>
      <protection locked="0" hidden="1"/>
    </xf>
    <xf numFmtId="9" fontId="16" fillId="0" borderId="0" xfId="3" applyFont="1" applyFill="1" applyBorder="1" applyAlignment="1" applyProtection="1">
      <alignment horizontal="center"/>
      <protection locked="0" hidden="1"/>
    </xf>
    <xf numFmtId="9" fontId="16" fillId="0" borderId="0" xfId="15" applyFont="1" applyFill="1" applyBorder="1" applyAlignment="1" applyProtection="1">
      <alignment horizontal="center"/>
      <protection locked="0" hidden="1"/>
    </xf>
    <xf numFmtId="9" fontId="16" fillId="0" borderId="0" xfId="5" applyFont="1" applyFill="1" applyBorder="1" applyAlignment="1" applyProtection="1">
      <alignment horizontal="center"/>
      <protection locked="0" hidden="1"/>
    </xf>
    <xf numFmtId="9" fontId="16" fillId="0" borderId="0" xfId="14" applyFont="1" applyFill="1" applyBorder="1" applyAlignment="1" applyProtection="1">
      <alignment horizontal="center"/>
      <protection locked="0" hidden="1"/>
    </xf>
    <xf numFmtId="1" fontId="16" fillId="0" borderId="0" xfId="0" applyNumberFormat="1" applyFont="1" applyAlignment="1" applyProtection="1">
      <alignment horizontal="center"/>
      <protection locked="0" hidden="1"/>
    </xf>
    <xf numFmtId="0" fontId="9" fillId="2" borderId="0" xfId="0" applyFont="1" applyFill="1" applyProtection="1">
      <protection locked="0" hidden="1"/>
    </xf>
    <xf numFmtId="0" fontId="9" fillId="2" borderId="0" xfId="0" applyFont="1" applyFill="1" applyAlignment="1" applyProtection="1">
      <alignment horizontal="right"/>
      <protection locked="0" hidden="1"/>
    </xf>
    <xf numFmtId="0" fontId="8" fillId="2" borderId="0" xfId="0" applyFont="1" applyFill="1" applyAlignment="1" applyProtection="1">
      <alignment horizontal="center"/>
      <protection locked="0" hidden="1"/>
    </xf>
    <xf numFmtId="165" fontId="8" fillId="0" borderId="0" xfId="1" applyNumberFormat="1" applyFont="1" applyFill="1" applyBorder="1" applyAlignment="1" applyProtection="1">
      <alignment horizontal="center"/>
      <protection locked="0" hidden="1"/>
    </xf>
    <xf numFmtId="9" fontId="8" fillId="0" borderId="0" xfId="2" applyFont="1" applyFill="1" applyBorder="1" applyAlignment="1" applyProtection="1">
      <alignment horizontal="center"/>
      <protection locked="0" hidden="1"/>
    </xf>
    <xf numFmtId="3" fontId="8" fillId="3" borderId="0" xfId="0" applyNumberFormat="1" applyFont="1" applyFill="1" applyAlignment="1" applyProtection="1">
      <alignment horizontal="center"/>
      <protection locked="0" hidden="1"/>
    </xf>
    <xf numFmtId="3" fontId="7" fillId="3" borderId="0" xfId="0" applyNumberFormat="1" applyFont="1" applyFill="1" applyAlignment="1" applyProtection="1">
      <alignment horizontal="center"/>
      <protection locked="0" hidden="1"/>
    </xf>
    <xf numFmtId="1" fontId="16" fillId="0" borderId="0" xfId="3" applyNumberFormat="1" applyFont="1" applyFill="1" applyBorder="1" applyAlignment="1" applyProtection="1">
      <alignment horizontal="center"/>
      <protection locked="0" hidden="1"/>
    </xf>
    <xf numFmtId="1" fontId="16" fillId="0" borderId="0" xfId="15" applyNumberFormat="1" applyFont="1" applyFill="1" applyBorder="1" applyAlignment="1" applyProtection="1">
      <alignment horizontal="center"/>
      <protection locked="0" hidden="1"/>
    </xf>
    <xf numFmtId="1" fontId="16" fillId="0" borderId="0" xfId="5" applyNumberFormat="1" applyFont="1" applyFill="1" applyBorder="1" applyAlignment="1" applyProtection="1">
      <alignment horizontal="center"/>
      <protection locked="0" hidden="1"/>
    </xf>
    <xf numFmtId="1" fontId="16" fillId="0" borderId="0" xfId="14" applyNumberFormat="1" applyFont="1" applyFill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left" indent="1"/>
      <protection locked="0" hidden="1"/>
    </xf>
    <xf numFmtId="9" fontId="16" fillId="0" borderId="0" xfId="6" applyFont="1" applyFill="1" applyBorder="1" applyAlignment="1" applyProtection="1">
      <alignment horizontal="center"/>
      <protection locked="0" hidden="1"/>
    </xf>
    <xf numFmtId="9" fontId="16" fillId="0" borderId="0" xfId="4" applyFont="1" applyFill="1" applyBorder="1" applyAlignment="1" applyProtection="1">
      <alignment horizontal="center"/>
      <protection locked="0" hidden="1"/>
    </xf>
    <xf numFmtId="9" fontId="16" fillId="0" borderId="0" xfId="11" applyFont="1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 indent="1"/>
      <protection locked="0" hidden="1"/>
    </xf>
    <xf numFmtId="1" fontId="16" fillId="0" borderId="0" xfId="6" applyNumberFormat="1" applyFont="1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vertical="center"/>
      <protection locked="0" hidden="1"/>
    </xf>
    <xf numFmtId="9" fontId="16" fillId="0" borderId="0" xfId="12" applyFont="1" applyFill="1" applyBorder="1" applyAlignment="1" applyProtection="1">
      <alignment horizontal="center"/>
      <protection locked="0" hidden="1"/>
    </xf>
    <xf numFmtId="1" fontId="16" fillId="0" borderId="0" xfId="12" applyNumberFormat="1" applyFont="1" applyFill="1" applyBorder="1" applyAlignment="1" applyProtection="1">
      <alignment horizontal="center"/>
      <protection locked="0" hidden="1"/>
    </xf>
    <xf numFmtId="9" fontId="16" fillId="0" borderId="0" xfId="7" applyFont="1" applyFill="1" applyBorder="1" applyAlignment="1" applyProtection="1">
      <alignment horizontal="center"/>
      <protection locked="0" hidden="1"/>
    </xf>
    <xf numFmtId="9" fontId="16" fillId="0" borderId="0" xfId="19" applyFont="1" applyFill="1" applyBorder="1" applyAlignment="1" applyProtection="1">
      <alignment horizontal="center"/>
      <protection locked="0" hidden="1"/>
    </xf>
    <xf numFmtId="1" fontId="16" fillId="0" borderId="0" xfId="7" applyNumberFormat="1" applyFont="1" applyFill="1" applyBorder="1" applyAlignment="1" applyProtection="1">
      <alignment horizontal="center"/>
      <protection locked="0" hidden="1"/>
    </xf>
    <xf numFmtId="1" fontId="16" fillId="0" borderId="0" xfId="19" applyNumberFormat="1" applyFont="1" applyFill="1" applyBorder="1" applyAlignment="1" applyProtection="1">
      <alignment horizontal="center"/>
      <protection locked="0" hidden="1"/>
    </xf>
    <xf numFmtId="49" fontId="2" fillId="0" borderId="0" xfId="0" applyNumberFormat="1" applyFont="1" applyAlignment="1" applyProtection="1">
      <alignment horizontal="left" vertical="center" indent="1"/>
      <protection locked="0" hidden="1"/>
    </xf>
    <xf numFmtId="0" fontId="15" fillId="0" borderId="0" xfId="0" applyFont="1" applyAlignment="1" applyProtection="1">
      <alignment horizontal="left" vertical="center" indent="1"/>
      <protection locked="0" hidden="1"/>
    </xf>
    <xf numFmtId="1" fontId="24" fillId="16" borderId="0" xfId="15" applyNumberFormat="1" applyFont="1" applyBorder="1" applyAlignment="1" applyProtection="1">
      <alignment horizontal="center"/>
      <protection locked="0" hidden="1"/>
    </xf>
    <xf numFmtId="2" fontId="10" fillId="0" borderId="0" xfId="2" applyNumberFormat="1" applyFont="1" applyFill="1" applyBorder="1" applyAlignment="1" applyProtection="1">
      <alignment horizontal="center"/>
      <protection locked="0" hidden="1"/>
    </xf>
    <xf numFmtId="0" fontId="9" fillId="0" borderId="0" xfId="3" applyNumberFormat="1" applyFont="1" applyFill="1" applyBorder="1" applyAlignment="1" applyProtection="1">
      <alignment horizontal="center"/>
      <protection locked="0" hidden="1"/>
    </xf>
    <xf numFmtId="0" fontId="9" fillId="0" borderId="0" xfId="15" applyNumberFormat="1" applyFont="1" applyFill="1" applyBorder="1" applyAlignment="1" applyProtection="1">
      <alignment horizontal="center"/>
      <protection locked="0" hidden="1"/>
    </xf>
    <xf numFmtId="0" fontId="6" fillId="0" borderId="0" xfId="0" applyFont="1" applyProtection="1">
      <protection hidden="1"/>
    </xf>
    <xf numFmtId="1" fontId="6" fillId="0" borderId="0" xfId="0" applyNumberFormat="1" applyFont="1" applyProtection="1">
      <protection hidden="1"/>
    </xf>
    <xf numFmtId="1" fontId="0" fillId="0" borderId="0" xfId="0" applyNumberFormat="1" applyAlignment="1" applyProtection="1">
      <alignment horizontal="center"/>
      <protection locked="0" hidden="1"/>
    </xf>
    <xf numFmtId="1" fontId="24" fillId="0" borderId="0" xfId="3" applyNumberFormat="1" applyFont="1" applyFill="1" applyBorder="1" applyAlignment="1" applyProtection="1">
      <alignment horizontal="center"/>
      <protection locked="0" hidden="1"/>
    </xf>
    <xf numFmtId="1" fontId="26" fillId="0" borderId="0" xfId="15" applyNumberFormat="1" applyFont="1" applyFill="1" applyBorder="1" applyAlignment="1" applyProtection="1">
      <alignment horizontal="center"/>
      <protection locked="0" hidden="1"/>
    </xf>
    <xf numFmtId="0" fontId="27" fillId="0" borderId="0" xfId="0" applyFont="1" applyAlignment="1" applyProtection="1">
      <alignment horizontal="left" vertical="center" indent="1"/>
      <protection locked="0" hidden="1"/>
    </xf>
    <xf numFmtId="0" fontId="0" fillId="23" borderId="0" xfId="0" applyFill="1" applyAlignment="1" applyProtection="1">
      <alignment horizontal="left" vertical="center" indent="1"/>
      <protection locked="0" hidden="1"/>
    </xf>
    <xf numFmtId="0" fontId="19" fillId="0" borderId="0" xfId="0" applyFont="1" applyAlignment="1" applyProtection="1">
      <alignment horizontal="center"/>
      <protection locked="0" hidden="1"/>
    </xf>
    <xf numFmtId="0" fontId="8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horizontal="right"/>
      <protection locked="0" hidden="1"/>
    </xf>
    <xf numFmtId="0" fontId="8" fillId="0" borderId="0" xfId="0" applyFont="1" applyAlignment="1" applyProtection="1">
      <alignment horizontal="center"/>
      <protection locked="0" hidden="1"/>
    </xf>
    <xf numFmtId="0" fontId="8" fillId="0" borderId="1" xfId="0" applyFont="1" applyBorder="1" applyAlignment="1" applyProtection="1">
      <alignment horizontal="center"/>
      <protection locked="0"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center"/>
      <protection locked="0" hidden="1"/>
    </xf>
    <xf numFmtId="0" fontId="6" fillId="0" borderId="0" xfId="0" applyFont="1" applyAlignment="1" applyProtection="1">
      <alignment horizontal="center"/>
      <protection locked="0" hidden="1"/>
    </xf>
    <xf numFmtId="0" fontId="1" fillId="22" borderId="0" xfId="0" applyFont="1" applyFill="1" applyAlignment="1" applyProtection="1">
      <alignment horizontal="center" vertical="center"/>
      <protection locked="0" hidden="1"/>
    </xf>
    <xf numFmtId="167" fontId="9" fillId="0" borderId="0" xfId="0" applyNumberFormat="1" applyFont="1" applyAlignment="1" applyProtection="1">
      <alignment horizontal="center" vertical="center"/>
      <protection locked="0" hidden="1"/>
    </xf>
  </cellXfs>
  <cellStyles count="21">
    <cellStyle name="10 2 2 2" xfId="16" xr:uid="{00000000-0005-0000-0000-000000000000}"/>
    <cellStyle name="100" xfId="3" xr:uid="{00000000-0005-0000-0000-000001000000}"/>
    <cellStyle name="20" xfId="20" xr:uid="{00000000-0005-0000-0000-000002000000}"/>
    <cellStyle name="25" xfId="19" xr:uid="{00000000-0005-0000-0000-000003000000}"/>
    <cellStyle name="30" xfId="18" xr:uid="{00000000-0005-0000-0000-000004000000}"/>
    <cellStyle name="35" xfId="14" xr:uid="{00000000-0005-0000-0000-000005000000}"/>
    <cellStyle name="40" xfId="11" xr:uid="{00000000-0005-0000-0000-000006000000}"/>
    <cellStyle name="45" xfId="9" xr:uid="{00000000-0005-0000-0000-000007000000}"/>
    <cellStyle name="50" xfId="5" xr:uid="{00000000-0005-0000-0000-000008000000}"/>
    <cellStyle name="55" xfId="12" xr:uid="{00000000-0005-0000-0000-000009000000}"/>
    <cellStyle name="60" xfId="17" xr:uid="{00000000-0005-0000-0000-00000A000000}"/>
    <cellStyle name="65" xfId="10" xr:uid="{00000000-0005-0000-0000-00000B000000}"/>
    <cellStyle name="70" xfId="4" xr:uid="{00000000-0005-0000-0000-00000C000000}"/>
    <cellStyle name="75" xfId="7" xr:uid="{00000000-0005-0000-0000-00000D000000}"/>
    <cellStyle name="80" xfId="6" xr:uid="{00000000-0005-0000-0000-00000E000000}"/>
    <cellStyle name="85" xfId="15" xr:uid="{00000000-0005-0000-0000-00000F000000}"/>
    <cellStyle name="90" xfId="8" xr:uid="{00000000-0005-0000-0000-000010000000}"/>
    <cellStyle name="95" xfId="13" xr:uid="{00000000-0005-0000-0000-000011000000}"/>
    <cellStyle name="Comma" xfId="1" builtinId="3"/>
    <cellStyle name="Normal" xfId="0" builtinId="0"/>
    <cellStyle name="Percent" xfId="2" builtinId="5"/>
  </cellStyles>
  <dxfs count="23">
    <dxf>
      <font>
        <color rgb="FFFFFFCC"/>
      </font>
    </dxf>
    <dxf>
      <font>
        <color rgb="FFCCECFF"/>
      </font>
    </dxf>
    <dxf>
      <font>
        <color rgb="FFFFFFCC"/>
      </font>
    </dxf>
    <dxf>
      <font>
        <color rgb="FFCCECFF"/>
      </font>
    </dxf>
    <dxf>
      <font>
        <color rgb="FFFFFFCC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FFD966"/>
      </font>
    </dxf>
    <dxf>
      <font>
        <color rgb="FFFFFFCC"/>
      </font>
    </dxf>
    <dxf>
      <font>
        <color rgb="FFFFD966"/>
      </font>
    </dxf>
    <dxf>
      <font>
        <color rgb="FFFFFFCC"/>
      </font>
    </dxf>
    <dxf>
      <font>
        <color rgb="FFFFD966"/>
      </font>
    </dxf>
    <dxf>
      <font>
        <color rgb="FFFFD966"/>
      </font>
    </dxf>
    <dxf>
      <font>
        <color rgb="FFFFD966"/>
      </font>
    </dxf>
    <dxf>
      <font>
        <color rgb="FFFFD966"/>
      </font>
    </dxf>
    <dxf>
      <font>
        <color rgb="FFFFD966"/>
      </font>
    </dxf>
    <dxf>
      <font>
        <color rgb="FFFFD966"/>
      </font>
    </dxf>
  </dxfs>
  <tableStyles count="0" defaultTableStyle="TableStyleMedium2" defaultPivotStyle="PivotStyleLight16"/>
  <colors>
    <mruColors>
      <color rgb="FFCCECFF"/>
      <color rgb="FFDAEEF3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12" dropStyle="combo" dx="22" fmlaLink="$W$4" fmlaRange="C44:C55" noThreeD="1" sel="5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8468</xdr:colOff>
      <xdr:row>0</xdr:row>
      <xdr:rowOff>94802</xdr:rowOff>
    </xdr:from>
    <xdr:to>
      <xdr:col>3</xdr:col>
      <xdr:colOff>684403</xdr:colOff>
      <xdr:row>2</xdr:row>
      <xdr:rowOff>187536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385" y="94802"/>
          <a:ext cx="2167338" cy="4237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3</xdr:row>
          <xdr:rowOff>9525</xdr:rowOff>
        </xdr:from>
        <xdr:to>
          <xdr:col>26</xdr:col>
          <xdr:colOff>228599</xdr:colOff>
          <xdr:row>3</xdr:row>
          <xdr:rowOff>186690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Z67"/>
  <sheetViews>
    <sheetView showGridLines="0" tabSelected="1" zoomScaleNormal="100" workbookViewId="0">
      <pane xSplit="14" ySplit="10" topLeftCell="O11" activePane="bottomRight" state="frozen"/>
      <selection pane="topRight" activeCell="P1" sqref="P1"/>
      <selection pane="bottomLeft" activeCell="A11" sqref="A11"/>
      <selection pane="bottomRight" activeCell="W4" sqref="W4:AA4"/>
    </sheetView>
  </sheetViews>
  <sheetFormatPr defaultRowHeight="15" outlineLevelCol="1" x14ac:dyDescent="0.25"/>
  <cols>
    <col min="1" max="1" width="2.7109375" style="1" customWidth="1"/>
    <col min="2" max="2" width="4.7109375" style="1" customWidth="1"/>
    <col min="3" max="3" width="17.7109375" style="2" customWidth="1"/>
    <col min="4" max="4" width="10.42578125" style="2" customWidth="1"/>
    <col min="5" max="5" width="14.5703125" style="2" customWidth="1" collapsed="1"/>
    <col min="6" max="7" width="9.140625" style="2" hidden="1" customWidth="1" outlineLevel="1"/>
    <col min="8" max="11" width="2.5703125" style="2" hidden="1" customWidth="1" outlineLevel="1"/>
    <col min="12" max="14" width="9.140625" style="2" hidden="1" customWidth="1" outlineLevel="1"/>
    <col min="15" max="31" width="3.7109375" style="2" customWidth="1"/>
    <col min="32" max="32" width="9.140625" style="2" customWidth="1" collapsed="1"/>
    <col min="33" max="33" width="10.85546875" style="2" hidden="1" customWidth="1" outlineLevel="1"/>
    <col min="34" max="35" width="9.140625" style="2" hidden="1" customWidth="1" outlineLevel="1"/>
    <col min="36" max="36" width="8.85546875" style="2" customWidth="1"/>
    <col min="37" max="37" width="9.140625" style="3" hidden="1" customWidth="1"/>
    <col min="38" max="16384" width="9.140625" style="2"/>
  </cols>
  <sheetData>
    <row r="1" spans="1:52" ht="10.5" customHeight="1" x14ac:dyDescent="0.25">
      <c r="A1" s="1">
        <f>CHOOSE(vRolik_len,0.4,0.4,0.4,0.4,0.4,0.4,0.4,0.4,0.4,0.4,0.6,0.6,0.6,0.6,0.6,0.8,0.8,0.8,0.8,0.8,0.95,0.95,0.95,0.95,0.95,1,1,1,1,1,1.3,1.3,1.3,1.3,1.3,1.4,1.4,1.4,1.4,1.4,1.6,1.6,1.6,1.6,1.6,1.8,1.8,1.8,1.8,1.8,1.95,1.95,1.95,1.95,)</f>
        <v>1.6</v>
      </c>
    </row>
    <row r="2" spans="1:52" ht="15.75" thickBot="1" x14ac:dyDescent="0.3">
      <c r="O2" s="86" t="s">
        <v>68</v>
      </c>
      <c r="P2" s="86"/>
      <c r="Q2" s="86"/>
      <c r="R2" s="86"/>
      <c r="S2" s="86"/>
      <c r="T2" s="86"/>
      <c r="U2" s="86"/>
      <c r="V2" s="4"/>
      <c r="W2" s="88">
        <v>43</v>
      </c>
      <c r="X2" s="88"/>
      <c r="Y2" s="88"/>
      <c r="Z2" s="88"/>
      <c r="AA2" s="88"/>
      <c r="AB2" s="5"/>
      <c r="AC2" s="6">
        <f>IF(vRolik_len=0,0,
IF(vRolik_len&lt;=10,0.4,
IF(vRolik_len&lt;=15,0.6,
IF(vRolik_len&lt;=20,0.8,
IF(vRolik_len&lt;=25,0.95,
IF(vRolik_len&lt;=30,1,
IF(vRolik_len&lt;=35,1.3,
IF(vRolik_len&lt;=40,1.4,
IF(vRolik_len&lt;=45,1.6,
IF(vRolik_len&lt;=50,1.8,
IF(vRolik_len&lt;=55,1.95,
IF(vRolik_len&lt;=60,2.2,))))))))))))</f>
        <v>1.6</v>
      </c>
      <c r="AD2" s="5"/>
      <c r="AE2" s="5"/>
    </row>
    <row r="3" spans="1:52" ht="15.75" thickBot="1" x14ac:dyDescent="0.3">
      <c r="A3" s="7"/>
      <c r="B3" s="7"/>
      <c r="O3" s="86" t="s">
        <v>69</v>
      </c>
      <c r="P3" s="86"/>
      <c r="Q3" s="86"/>
      <c r="R3" s="86"/>
      <c r="S3" s="86"/>
      <c r="T3" s="86"/>
      <c r="U3" s="86"/>
      <c r="V3" s="4"/>
      <c r="W3" s="89">
        <v>30</v>
      </c>
      <c r="X3" s="89"/>
      <c r="Y3" s="89"/>
      <c r="Z3" s="89"/>
      <c r="AA3" s="89"/>
      <c r="AB3" s="5"/>
      <c r="AC3" s="5"/>
      <c r="AD3" s="5"/>
      <c r="AE3" s="5"/>
    </row>
    <row r="4" spans="1:52" ht="15.75" thickBot="1" x14ac:dyDescent="0.3">
      <c r="A4" s="91" t="s">
        <v>96</v>
      </c>
      <c r="B4" s="91"/>
      <c r="C4" s="91"/>
      <c r="D4" s="91"/>
      <c r="E4" s="91"/>
      <c r="O4" s="86" t="s">
        <v>70</v>
      </c>
      <c r="P4" s="86"/>
      <c r="Q4" s="86"/>
      <c r="R4" s="86"/>
      <c r="S4" s="86"/>
      <c r="T4" s="86"/>
      <c r="U4" s="86"/>
      <c r="W4" s="90">
        <v>5</v>
      </c>
      <c r="X4" s="90"/>
      <c r="Y4" s="90"/>
      <c r="Z4" s="90"/>
      <c r="AA4" s="90"/>
      <c r="AF4" s="8"/>
      <c r="AK4" s="9"/>
    </row>
    <row r="5" spans="1:52" s="5" customFormat="1" ht="18" customHeight="1" x14ac:dyDescent="0.25">
      <c r="A5" s="91" t="s">
        <v>38</v>
      </c>
      <c r="B5" s="91"/>
      <c r="C5" s="91"/>
      <c r="D5" s="91"/>
      <c r="E5" s="91"/>
      <c r="AK5" s="3"/>
    </row>
    <row r="6" spans="1:52" s="5" customFormat="1" ht="18" customHeight="1" x14ac:dyDescent="0.25">
      <c r="A6" s="92" t="s">
        <v>71</v>
      </c>
      <c r="B6" s="92"/>
      <c r="C6" s="92"/>
      <c r="D6" s="92"/>
      <c r="E6" s="92"/>
      <c r="F6" s="92"/>
      <c r="AK6" s="3"/>
    </row>
    <row r="7" spans="1:52" ht="11.25" customHeight="1" x14ac:dyDescent="0.25">
      <c r="A7" s="7"/>
      <c r="B7" s="85" t="s">
        <v>39</v>
      </c>
      <c r="C7" s="85" t="s">
        <v>72</v>
      </c>
      <c r="D7" s="11" t="s">
        <v>97</v>
      </c>
      <c r="E7" s="10" t="s">
        <v>73</v>
      </c>
      <c r="O7" s="87" t="s">
        <v>76</v>
      </c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5"/>
      <c r="AG7" s="5"/>
      <c r="AH7" s="5"/>
      <c r="AI7" s="5"/>
      <c r="AJ7" s="11"/>
      <c r="AK7" s="12" t="s">
        <v>40</v>
      </c>
    </row>
    <row r="8" spans="1:52" ht="11.25" customHeight="1" x14ac:dyDescent="0.25">
      <c r="B8" s="85"/>
      <c r="C8" s="85"/>
      <c r="D8" s="11" t="s">
        <v>98</v>
      </c>
      <c r="E8" s="10" t="s">
        <v>74</v>
      </c>
      <c r="F8" s="13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11" t="s">
        <v>77</v>
      </c>
      <c r="AG8" s="14" t="s">
        <v>23</v>
      </c>
      <c r="AH8" s="14" t="s">
        <v>33</v>
      </c>
      <c r="AI8" s="14"/>
      <c r="AJ8" s="11" t="s">
        <v>81</v>
      </c>
      <c r="AK8" s="12" t="s">
        <v>42</v>
      </c>
    </row>
    <row r="9" spans="1:52" ht="11.25" customHeight="1" x14ac:dyDescent="0.25">
      <c r="B9" s="85"/>
      <c r="C9" s="85"/>
      <c r="D9" s="11">
        <v>2023</v>
      </c>
      <c r="E9" s="10" t="s">
        <v>75</v>
      </c>
      <c r="F9" s="15" t="s">
        <v>27</v>
      </c>
      <c r="G9" s="16" t="s">
        <v>28</v>
      </c>
      <c r="H9" s="15" t="s">
        <v>29</v>
      </c>
      <c r="I9" s="15" t="s">
        <v>30</v>
      </c>
      <c r="J9" s="15" t="s">
        <v>31</v>
      </c>
      <c r="K9" s="15" t="s">
        <v>32</v>
      </c>
      <c r="L9" s="17" t="s">
        <v>35</v>
      </c>
      <c r="M9" s="17" t="s">
        <v>36</v>
      </c>
      <c r="N9" s="17" t="s">
        <v>37</v>
      </c>
      <c r="O9" s="18" t="s">
        <v>0</v>
      </c>
      <c r="P9" s="18" t="s">
        <v>1</v>
      </c>
      <c r="Q9" s="18" t="s">
        <v>2</v>
      </c>
      <c r="R9" s="18" t="s">
        <v>3</v>
      </c>
      <c r="S9" s="18" t="s">
        <v>4</v>
      </c>
      <c r="T9" s="18" t="s">
        <v>5</v>
      </c>
      <c r="U9" s="18" t="s">
        <v>6</v>
      </c>
      <c r="V9" s="18" t="s">
        <v>7</v>
      </c>
      <c r="W9" s="18" t="s">
        <v>8</v>
      </c>
      <c r="X9" s="18" t="s">
        <v>9</v>
      </c>
      <c r="Y9" s="18" t="s">
        <v>10</v>
      </c>
      <c r="Z9" s="18" t="s">
        <v>11</v>
      </c>
      <c r="AA9" s="18" t="s">
        <v>12</v>
      </c>
      <c r="AB9" s="18" t="s">
        <v>13</v>
      </c>
      <c r="AC9" s="18" t="s">
        <v>14</v>
      </c>
      <c r="AD9" s="18" t="s">
        <v>15</v>
      </c>
      <c r="AE9" s="18" t="s">
        <v>16</v>
      </c>
      <c r="AF9" s="19" t="s">
        <v>78</v>
      </c>
      <c r="AG9" s="19" t="s">
        <v>24</v>
      </c>
      <c r="AH9" s="14" t="s">
        <v>34</v>
      </c>
      <c r="AI9" s="14"/>
      <c r="AJ9" s="11" t="s">
        <v>79</v>
      </c>
      <c r="AK9" s="12" t="s">
        <v>41</v>
      </c>
    </row>
    <row r="10" spans="1:52" ht="3.75" customHeight="1" x14ac:dyDescent="0.25">
      <c r="B10" s="85"/>
      <c r="AG10" s="20"/>
      <c r="AH10" s="21"/>
      <c r="AI10" s="21"/>
    </row>
    <row r="11" spans="1:52" ht="15" customHeight="1" x14ac:dyDescent="0.25">
      <c r="A11" s="22"/>
      <c r="B11" s="23" t="s">
        <v>48</v>
      </c>
      <c r="C11" s="83" t="s">
        <v>18</v>
      </c>
      <c r="D11" s="93">
        <v>0.2175</v>
      </c>
      <c r="E11" s="79">
        <f t="shared" ref="E11:E19" si="0">AJ11/AF11</f>
        <v>170.56666666666663</v>
      </c>
      <c r="F11" s="80">
        <f>180/2</f>
        <v>90</v>
      </c>
      <c r="G11" s="81">
        <f>150/2</f>
        <v>75</v>
      </c>
      <c r="H11" s="25"/>
      <c r="I11" s="25"/>
      <c r="J11" s="25"/>
      <c r="K11" s="25"/>
      <c r="L11" s="26">
        <f>IF(vMonth=1,1,
IF(vMonth=2,1,
IF(vMonth=3,1,
IF(vMonth=4,1,
IF(vMonth=5,1,
IF(vMonth=6,1,
IF(vMonth=7,1,
IF(vMonth=8,1,
IF(vMonth=9,1,
IF(vMonth=10,1,
IF(vMonth=11,1.2,
IF(vMonth=12,1.2,))))))))))))</f>
        <v>1</v>
      </c>
      <c r="M11" s="26">
        <f t="shared" ref="M11:M19" si="1">vRolik_len/30</f>
        <v>1.4333333333333333</v>
      </c>
      <c r="N11" s="26">
        <f t="shared" ref="N11:N21" si="2">L11*M11</f>
        <v>1.4333333333333333</v>
      </c>
      <c r="O11" s="75"/>
      <c r="P11" s="75">
        <v>1</v>
      </c>
      <c r="Q11" s="75">
        <v>1</v>
      </c>
      <c r="R11" s="75"/>
      <c r="S11" s="76"/>
      <c r="T11" s="76">
        <v>1</v>
      </c>
      <c r="U11" s="76">
        <v>1</v>
      </c>
      <c r="V11" s="76"/>
      <c r="W11" s="76"/>
      <c r="X11" s="76"/>
      <c r="Y11" s="75">
        <v>1</v>
      </c>
      <c r="Z11" s="75">
        <v>1</v>
      </c>
      <c r="AA11" s="75"/>
      <c r="AB11" s="76"/>
      <c r="AC11" s="76"/>
      <c r="AD11" s="76"/>
      <c r="AE11" s="76"/>
      <c r="AF11" s="27">
        <f t="shared" ref="AF11:AF17" si="3">SUM(O11:AE11)*vDay</f>
        <v>180</v>
      </c>
      <c r="AG11" s="28">
        <f t="shared" ref="AG11:AG20" si="4">(
SUM(O11:R11, Y11:AA11)*F11+
SUM(S11:X11, AB11:AE11)*G11
)*N11*vDay</f>
        <v>21930</v>
      </c>
      <c r="AH11" s="29">
        <v>0</v>
      </c>
      <c r="AI11" s="74">
        <v>1.4</v>
      </c>
      <c r="AJ11" s="30">
        <f t="shared" ref="AJ11:AJ20" si="5">AG11*(1-AH11)*AI11</f>
        <v>30701.999999999996</v>
      </c>
      <c r="AK11" s="31">
        <f t="shared" ref="AK11:AK21" si="6">AJ11/AF11</f>
        <v>170.56666666666663</v>
      </c>
      <c r="AL11" s="32"/>
      <c r="AM11" s="33"/>
      <c r="AN11" s="25"/>
      <c r="AR11" s="34"/>
      <c r="AS11" s="24"/>
      <c r="AV11" s="34"/>
      <c r="AW11" s="24"/>
      <c r="AY11" s="34"/>
      <c r="AZ11" s="24"/>
    </row>
    <row r="12" spans="1:52" ht="15" customHeight="1" x14ac:dyDescent="0.25">
      <c r="A12" s="22"/>
      <c r="B12" s="23" t="s">
        <v>49</v>
      </c>
      <c r="C12" s="24" t="s">
        <v>67</v>
      </c>
      <c r="D12" s="93">
        <v>0.1148</v>
      </c>
      <c r="E12" s="79">
        <f t="shared" si="0"/>
        <v>136.45333333333332</v>
      </c>
      <c r="F12" s="80">
        <f>(120*1.2)/2</f>
        <v>72</v>
      </c>
      <c r="G12" s="81">
        <f>120/2</f>
        <v>60</v>
      </c>
      <c r="H12" s="25"/>
      <c r="I12" s="25"/>
      <c r="J12" s="25"/>
      <c r="K12" s="25"/>
      <c r="L12" s="26">
        <f>IF(vMonth=1,1,
IF(vMonth=2,1,
IF(vMonth=3,1,
IF(vMonth=4,1,
IF(vMonth=5,1,
IF(vMonth=6,1,
IF(vMonth=7,1,
IF(vMonth=8,1,
IF(vMonth=9,1,
IF(vMonth=10,1,
IF(vMonth=11,1.2,
IF(vMonth=12,1.2,))))))))))))</f>
        <v>1</v>
      </c>
      <c r="M12" s="26">
        <f t="shared" si="1"/>
        <v>1.4333333333333333</v>
      </c>
      <c r="N12" s="26">
        <f t="shared" si="2"/>
        <v>1.4333333333333333</v>
      </c>
      <c r="O12" s="75"/>
      <c r="P12" s="75">
        <v>1</v>
      </c>
      <c r="Q12" s="75">
        <v>1</v>
      </c>
      <c r="R12" s="75"/>
      <c r="S12" s="76"/>
      <c r="T12" s="76">
        <v>1</v>
      </c>
      <c r="U12" s="76">
        <v>1</v>
      </c>
      <c r="V12" s="76"/>
      <c r="W12" s="76"/>
      <c r="X12" s="76"/>
      <c r="Y12" s="75">
        <v>1</v>
      </c>
      <c r="Z12" s="75">
        <v>1</v>
      </c>
      <c r="AA12" s="75"/>
      <c r="AB12" s="76"/>
      <c r="AC12" s="76"/>
      <c r="AD12" s="76"/>
      <c r="AE12" s="76"/>
      <c r="AF12" s="27">
        <f t="shared" si="3"/>
        <v>180</v>
      </c>
      <c r="AG12" s="28">
        <f t="shared" si="4"/>
        <v>17544</v>
      </c>
      <c r="AH12" s="29">
        <v>0</v>
      </c>
      <c r="AI12" s="74">
        <v>1.4</v>
      </c>
      <c r="AJ12" s="30">
        <f t="shared" si="5"/>
        <v>24561.599999999999</v>
      </c>
      <c r="AK12" s="31">
        <f t="shared" si="6"/>
        <v>136.45333333333332</v>
      </c>
      <c r="AL12" s="32"/>
      <c r="AM12" s="33"/>
      <c r="AN12" s="25"/>
      <c r="AR12" s="34"/>
      <c r="AS12" s="24"/>
      <c r="AV12" s="34"/>
      <c r="AW12" s="24"/>
      <c r="AY12" s="34"/>
      <c r="AZ12" s="24"/>
    </row>
    <row r="13" spans="1:52" x14ac:dyDescent="0.25">
      <c r="A13" s="22"/>
      <c r="B13" s="23" t="s">
        <v>53</v>
      </c>
      <c r="C13" s="24" t="s">
        <v>17</v>
      </c>
      <c r="D13" s="93">
        <v>0.1308</v>
      </c>
      <c r="E13" s="79">
        <f t="shared" si="0"/>
        <v>77.9375</v>
      </c>
      <c r="F13" s="77">
        <f>75/2</f>
        <v>37.5</v>
      </c>
      <c r="G13" s="37"/>
      <c r="H13" s="25"/>
      <c r="I13" s="25"/>
      <c r="J13" s="25"/>
      <c r="K13" s="25"/>
      <c r="L13" s="26">
        <f>IF(vMonth=1,1,
IF(vMonth=2,1,
IF(vMonth=3,1,
IF(vMonth=4,1,
IF(vMonth=5,1,
IF(vMonth=6,1,
IF(vMonth=7,1,
IF(vMonth=8,1,
IF(vMonth=9,1,
IF(vMonth=10,1,
IF(vMonth=11,1,
IF(vMonth=12,1,))))))))))))</f>
        <v>1</v>
      </c>
      <c r="M13" s="26">
        <f t="shared" si="1"/>
        <v>1.4333333333333333</v>
      </c>
      <c r="N13" s="26">
        <f>L13*M13</f>
        <v>1.4333333333333333</v>
      </c>
      <c r="O13" s="75"/>
      <c r="P13" s="75">
        <v>1</v>
      </c>
      <c r="Q13" s="75">
        <v>1</v>
      </c>
      <c r="R13" s="75"/>
      <c r="S13" s="76"/>
      <c r="T13" s="76">
        <v>1</v>
      </c>
      <c r="U13" s="76">
        <v>1</v>
      </c>
      <c r="V13" s="76"/>
      <c r="W13" s="76"/>
      <c r="X13" s="76"/>
      <c r="Y13" s="75">
        <v>1</v>
      </c>
      <c r="Z13" s="75">
        <v>1</v>
      </c>
      <c r="AA13" s="75"/>
      <c r="AB13" s="76"/>
      <c r="AC13" s="76"/>
      <c r="AD13" s="76"/>
      <c r="AE13" s="76"/>
      <c r="AF13" s="27">
        <f t="shared" si="3"/>
        <v>180</v>
      </c>
      <c r="AG13" s="28">
        <f>SUM(O13:AE13)*F13*N13*vDay</f>
        <v>9675</v>
      </c>
      <c r="AH13" s="29">
        <v>-0.45</v>
      </c>
      <c r="AI13" s="74"/>
      <c r="AJ13" s="30">
        <f>AG13*(1-AH13)</f>
        <v>14028.75</v>
      </c>
      <c r="AK13" s="31">
        <f>AJ13/AF13</f>
        <v>77.9375</v>
      </c>
      <c r="AL13" s="32"/>
      <c r="AM13" s="33"/>
      <c r="AN13" s="25"/>
      <c r="AR13" s="34"/>
      <c r="AS13" s="24"/>
      <c r="AV13" s="34"/>
      <c r="AW13" s="24"/>
      <c r="AY13" s="34"/>
      <c r="AZ13" s="24"/>
    </row>
    <row r="14" spans="1:52" x14ac:dyDescent="0.25">
      <c r="A14" s="22"/>
      <c r="B14" s="23" t="s">
        <v>55</v>
      </c>
      <c r="C14" s="24" t="s">
        <v>46</v>
      </c>
      <c r="D14" s="93">
        <v>0.1389</v>
      </c>
      <c r="E14" s="79">
        <f t="shared" si="0"/>
        <v>84.172499999999999</v>
      </c>
      <c r="F14" s="78">
        <f>81/2</f>
        <v>40.5</v>
      </c>
      <c r="G14" s="37"/>
      <c r="H14" s="25"/>
      <c r="I14" s="25"/>
      <c r="J14" s="25"/>
      <c r="K14" s="25"/>
      <c r="L14" s="26">
        <f>IF(vMonth=1,1,
IF(vMonth=2,1,
IF(vMonth=3,1,
IF(vMonth=4,1,
IF(vMonth=5,1,
IF(vMonth=6,1,
IF(vMonth=7,1,
IF(vMonth=8,1,
IF(vMonth=9,1,
IF(vMonth=10,1,
IF(vMonth=11,1,
IF(vMonth=12,1,))))))))))))</f>
        <v>1</v>
      </c>
      <c r="M14" s="26">
        <f t="shared" si="1"/>
        <v>1.4333333333333333</v>
      </c>
      <c r="N14" s="26">
        <f t="shared" ref="N14" si="7">L14*M14</f>
        <v>1.4333333333333333</v>
      </c>
      <c r="O14" s="75"/>
      <c r="P14" s="75">
        <v>1</v>
      </c>
      <c r="Q14" s="75">
        <v>1</v>
      </c>
      <c r="R14" s="75"/>
      <c r="S14" s="76"/>
      <c r="T14" s="76">
        <v>1</v>
      </c>
      <c r="U14" s="76">
        <v>1</v>
      </c>
      <c r="V14" s="76"/>
      <c r="W14" s="76"/>
      <c r="X14" s="76"/>
      <c r="Y14" s="75">
        <v>1</v>
      </c>
      <c r="Z14" s="75">
        <v>1</v>
      </c>
      <c r="AA14" s="75"/>
      <c r="AB14" s="76"/>
      <c r="AC14" s="76"/>
      <c r="AD14" s="76"/>
      <c r="AE14" s="76"/>
      <c r="AF14" s="27">
        <f t="shared" si="3"/>
        <v>180</v>
      </c>
      <c r="AG14" s="28">
        <f>SUM(O14:AE14)*F14*N14*vDay</f>
        <v>10449</v>
      </c>
      <c r="AH14" s="29">
        <v>-0.45</v>
      </c>
      <c r="AI14" s="74"/>
      <c r="AJ14" s="30">
        <f>AG14*(1-AH14)</f>
        <v>15151.05</v>
      </c>
      <c r="AK14" s="31">
        <f t="shared" ref="AK14" si="8">AJ14/AF14</f>
        <v>84.172499999999999</v>
      </c>
      <c r="AL14" s="32"/>
      <c r="AM14" s="33"/>
      <c r="AN14" s="25"/>
      <c r="AR14" s="34"/>
      <c r="AS14" s="24"/>
      <c r="AV14" s="34"/>
      <c r="AW14" s="24"/>
      <c r="AY14" s="34"/>
      <c r="AZ14" s="24"/>
    </row>
    <row r="15" spans="1:52" x14ac:dyDescent="0.25">
      <c r="A15" s="22"/>
      <c r="B15" s="23" t="s">
        <v>60</v>
      </c>
      <c r="C15" s="24" t="s">
        <v>47</v>
      </c>
      <c r="D15" s="93">
        <v>0.15959999999999999</v>
      </c>
      <c r="E15" s="79">
        <f t="shared" si="0"/>
        <v>102.8775</v>
      </c>
      <c r="F15" s="77">
        <f>99/2</f>
        <v>49.5</v>
      </c>
      <c r="G15" s="73"/>
      <c r="H15" s="25"/>
      <c r="I15" s="25"/>
      <c r="J15" s="25"/>
      <c r="K15" s="25"/>
      <c r="L15" s="26">
        <f>IF(vMonth=1,1,
IF(vMonth=2,1,
IF(vMonth=3,1,
IF(vMonth=4,1,
IF(vMonth=5,1,
IF(vMonth=6,1,
IF(vMonth=7,1,
IF(vMonth=8,1,
IF(vMonth=9,1,
IF(vMonth=10,1,
IF(vMonth=11,1,
IF(vMonth=12,1,))))))))))))</f>
        <v>1</v>
      </c>
      <c r="M15" s="26">
        <f t="shared" si="1"/>
        <v>1.4333333333333333</v>
      </c>
      <c r="N15" s="26">
        <f t="shared" ref="N15" si="9">L15*M15</f>
        <v>1.4333333333333333</v>
      </c>
      <c r="O15" s="75"/>
      <c r="P15" s="75">
        <v>1</v>
      </c>
      <c r="Q15" s="75">
        <v>1</v>
      </c>
      <c r="R15" s="75"/>
      <c r="S15" s="76"/>
      <c r="T15" s="76">
        <v>1</v>
      </c>
      <c r="U15" s="76">
        <v>1</v>
      </c>
      <c r="V15" s="76"/>
      <c r="W15" s="76"/>
      <c r="X15" s="76"/>
      <c r="Y15" s="75">
        <v>1</v>
      </c>
      <c r="Z15" s="75">
        <v>1</v>
      </c>
      <c r="AA15" s="75"/>
      <c r="AB15" s="76"/>
      <c r="AC15" s="76"/>
      <c r="AD15" s="76"/>
      <c r="AE15" s="76"/>
      <c r="AF15" s="27">
        <f t="shared" si="3"/>
        <v>180</v>
      </c>
      <c r="AG15" s="28">
        <f>SUM(O15:AE15)*F15*N15*vDay</f>
        <v>12771</v>
      </c>
      <c r="AH15" s="29">
        <v>-0.45</v>
      </c>
      <c r="AI15" s="74"/>
      <c r="AJ15" s="30">
        <f>AG15*(1-AH15)</f>
        <v>18517.95</v>
      </c>
      <c r="AK15" s="31">
        <f t="shared" ref="AK15" si="10">AJ15/AF15</f>
        <v>102.8775</v>
      </c>
      <c r="AL15" s="32"/>
      <c r="AM15" s="33"/>
      <c r="AN15" s="25"/>
      <c r="AR15" s="34"/>
      <c r="AS15" s="24"/>
      <c r="AV15" s="34"/>
      <c r="AW15" s="24"/>
      <c r="AY15" s="34"/>
      <c r="AZ15" s="24"/>
    </row>
    <row r="16" spans="1:52" x14ac:dyDescent="0.25">
      <c r="A16" s="35"/>
      <c r="B16" s="36" t="s">
        <v>50</v>
      </c>
      <c r="C16" s="24" t="s">
        <v>19</v>
      </c>
      <c r="D16" s="93">
        <v>0.1061</v>
      </c>
      <c r="E16" s="79">
        <f t="shared" si="0"/>
        <v>136.45333333333332</v>
      </c>
      <c r="F16" s="80">
        <f>(120*1.2)/2</f>
        <v>72</v>
      </c>
      <c r="G16" s="81">
        <f>120/2</f>
        <v>60</v>
      </c>
      <c r="H16" s="25"/>
      <c r="I16" s="25"/>
      <c r="J16" s="25"/>
      <c r="K16" s="25"/>
      <c r="L16" s="26">
        <f>IF(vMonth=1,1,
IF(vMonth=2,1,
IF(vMonth=3,1,
IF(vMonth=4,1,
IF(vMonth=5,1,
IF(vMonth=6,1,
IF(vMonth=7,1,
IF(vMonth=8,1,
IF(vMonth=9,1,
IF(vMonth=10,1,
IF(vMonth=11,1.2,
IF(vMonth=12,1.2,))))))))))))</f>
        <v>1</v>
      </c>
      <c r="M16" s="26">
        <f t="shared" si="1"/>
        <v>1.4333333333333333</v>
      </c>
      <c r="N16" s="26">
        <f>L16*M16</f>
        <v>1.4333333333333333</v>
      </c>
      <c r="O16" s="75"/>
      <c r="P16" s="75">
        <v>1</v>
      </c>
      <c r="Q16" s="75">
        <v>1</v>
      </c>
      <c r="R16" s="75"/>
      <c r="S16" s="76"/>
      <c r="T16" s="76">
        <v>1</v>
      </c>
      <c r="U16" s="76">
        <v>1</v>
      </c>
      <c r="V16" s="76"/>
      <c r="W16" s="76"/>
      <c r="X16" s="76"/>
      <c r="Y16" s="75">
        <v>1</v>
      </c>
      <c r="Z16" s="75">
        <v>1</v>
      </c>
      <c r="AA16" s="75"/>
      <c r="AB16" s="76"/>
      <c r="AC16" s="76"/>
      <c r="AD16" s="76"/>
      <c r="AE16" s="76"/>
      <c r="AF16" s="27">
        <f t="shared" si="3"/>
        <v>180</v>
      </c>
      <c r="AG16" s="28">
        <f t="shared" si="4"/>
        <v>17544</v>
      </c>
      <c r="AH16" s="29">
        <v>0</v>
      </c>
      <c r="AI16" s="74">
        <v>1.4</v>
      </c>
      <c r="AJ16" s="30">
        <f t="shared" si="5"/>
        <v>24561.599999999999</v>
      </c>
      <c r="AK16" s="31">
        <f>AJ16/AF16</f>
        <v>136.45333333333332</v>
      </c>
      <c r="AL16" s="32"/>
      <c r="AM16" s="33"/>
      <c r="AN16" s="25"/>
      <c r="AR16" s="34"/>
      <c r="AS16" s="24"/>
      <c r="AV16" s="34"/>
      <c r="AW16" s="24"/>
      <c r="AY16" s="34"/>
      <c r="AZ16" s="24"/>
    </row>
    <row r="17" spans="1:52" x14ac:dyDescent="0.25">
      <c r="A17" s="35"/>
      <c r="B17" s="36" t="s">
        <v>51</v>
      </c>
      <c r="C17" s="24" t="s">
        <v>20</v>
      </c>
      <c r="D17" s="93">
        <v>0.1038</v>
      </c>
      <c r="E17" s="79">
        <f t="shared" si="0"/>
        <v>136.45333333333332</v>
      </c>
      <c r="F17" s="80">
        <f>(120*1.2)/2</f>
        <v>72</v>
      </c>
      <c r="G17" s="81">
        <f>120/2</f>
        <v>60</v>
      </c>
      <c r="H17" s="25"/>
      <c r="I17" s="25"/>
      <c r="J17" s="25"/>
      <c r="K17" s="25"/>
      <c r="L17" s="26">
        <f>IF(vMonth=1,1,
IF(vMonth=2,1,
IF(vMonth=3,1,
IF(vMonth=4,1,
IF(vMonth=5,1,
IF(vMonth=6,1,
IF(vMonth=7,1,
IF(vMonth=8,1,
IF(vMonth=9,1,
IF(vMonth=10,1,
IF(vMonth=11,1.2,
IF(vMonth=12,1.2,))))))))))))</f>
        <v>1</v>
      </c>
      <c r="M17" s="26">
        <f t="shared" si="1"/>
        <v>1.4333333333333333</v>
      </c>
      <c r="N17" s="26">
        <f>L17*M17</f>
        <v>1.4333333333333333</v>
      </c>
      <c r="O17" s="75"/>
      <c r="P17" s="75">
        <v>1</v>
      </c>
      <c r="Q17" s="75">
        <v>1</v>
      </c>
      <c r="R17" s="75"/>
      <c r="S17" s="76"/>
      <c r="T17" s="76">
        <v>1</v>
      </c>
      <c r="U17" s="76">
        <v>1</v>
      </c>
      <c r="V17" s="76"/>
      <c r="W17" s="76"/>
      <c r="X17" s="76"/>
      <c r="Y17" s="75">
        <v>1</v>
      </c>
      <c r="Z17" s="75">
        <v>1</v>
      </c>
      <c r="AA17" s="75"/>
      <c r="AB17" s="76"/>
      <c r="AC17" s="76"/>
      <c r="AD17" s="76"/>
      <c r="AE17" s="76"/>
      <c r="AF17" s="27">
        <f t="shared" si="3"/>
        <v>180</v>
      </c>
      <c r="AG17" s="28">
        <f t="shared" si="4"/>
        <v>17544</v>
      </c>
      <c r="AH17" s="29">
        <v>0</v>
      </c>
      <c r="AI17" s="74">
        <v>1.4</v>
      </c>
      <c r="AJ17" s="30">
        <f t="shared" si="5"/>
        <v>24561.599999999999</v>
      </c>
      <c r="AK17" s="31">
        <f>AJ17/AF17</f>
        <v>136.45333333333332</v>
      </c>
      <c r="AL17" s="32"/>
      <c r="AM17" s="33"/>
      <c r="AN17" s="25"/>
      <c r="AR17" s="34"/>
      <c r="AS17" s="24"/>
      <c r="AV17" s="34"/>
      <c r="AW17" s="24"/>
      <c r="AY17" s="34"/>
      <c r="AZ17" s="24"/>
    </row>
    <row r="18" spans="1:52" x14ac:dyDescent="0.25">
      <c r="A18" s="35"/>
      <c r="B18" s="36" t="s">
        <v>52</v>
      </c>
      <c r="C18" s="24" t="s">
        <v>45</v>
      </c>
      <c r="D18" s="93">
        <v>9.69E-2</v>
      </c>
      <c r="E18" s="79">
        <f t="shared" si="0"/>
        <v>77.9375</v>
      </c>
      <c r="F18" s="77">
        <f>75/2</f>
        <v>37.5</v>
      </c>
      <c r="G18" s="37"/>
      <c r="H18" s="25"/>
      <c r="I18" s="25"/>
      <c r="J18" s="25"/>
      <c r="K18" s="25"/>
      <c r="L18" s="26">
        <f>IF(vMonth=1,1,
IF(vMonth=2,1,
IF(vMonth=3,1,
IF(vMonth=4,1,
IF(vMonth=5,1,
IF(vMonth=6,1,
IF(vMonth=7,1,
IF(vMonth=8,1,
IF(vMonth=9,1,
IF(vMonth=10,1,
IF(vMonth=11,1,
IF(vMonth=12,1,))))))))))))</f>
        <v>1</v>
      </c>
      <c r="M18" s="26">
        <f t="shared" si="1"/>
        <v>1.4333333333333333</v>
      </c>
      <c r="N18" s="26">
        <f t="shared" ref="N18" si="11">L18*M18</f>
        <v>1.4333333333333333</v>
      </c>
      <c r="O18" s="75"/>
      <c r="P18" s="75">
        <v>1</v>
      </c>
      <c r="Q18" s="75">
        <v>1</v>
      </c>
      <c r="R18" s="75"/>
      <c r="S18" s="76"/>
      <c r="T18" s="76">
        <v>1</v>
      </c>
      <c r="U18" s="76">
        <v>1</v>
      </c>
      <c r="V18" s="76"/>
      <c r="W18" s="76"/>
      <c r="X18" s="76"/>
      <c r="Y18" s="75">
        <v>1</v>
      </c>
      <c r="Z18" s="75">
        <v>1</v>
      </c>
      <c r="AA18" s="75"/>
      <c r="AB18" s="76"/>
      <c r="AC18" s="76"/>
      <c r="AD18" s="76"/>
      <c r="AE18" s="76"/>
      <c r="AF18" s="27">
        <f t="shared" ref="AF18" si="12">SUM(O18:AE18)*vDay</f>
        <v>180</v>
      </c>
      <c r="AG18" s="28">
        <f>SUM(O18:AE18)*F18*N18*vDay</f>
        <v>9675</v>
      </c>
      <c r="AH18" s="29">
        <v>-0.45</v>
      </c>
      <c r="AI18" s="74"/>
      <c r="AJ18" s="30">
        <f>AG18*(1-AH18)</f>
        <v>14028.75</v>
      </c>
      <c r="AK18" s="31">
        <f t="shared" ref="AK18" si="13">AJ18/AF18</f>
        <v>77.9375</v>
      </c>
      <c r="AL18" s="32"/>
      <c r="AM18" s="33"/>
      <c r="AN18" s="25"/>
      <c r="AR18" s="34"/>
      <c r="AS18" s="24"/>
      <c r="AV18" s="34"/>
      <c r="AW18" s="24"/>
      <c r="AY18" s="34"/>
      <c r="AZ18" s="24"/>
    </row>
    <row r="19" spans="1:52" x14ac:dyDescent="0.25">
      <c r="A19" s="22"/>
      <c r="B19" s="23" t="s">
        <v>56</v>
      </c>
      <c r="C19" s="24" t="s">
        <v>43</v>
      </c>
      <c r="D19" s="93">
        <v>5.7799999999999997E-2</v>
      </c>
      <c r="E19" s="79">
        <f t="shared" si="0"/>
        <v>62.35</v>
      </c>
      <c r="F19" s="77">
        <f>60/2</f>
        <v>30</v>
      </c>
      <c r="G19" s="73"/>
      <c r="H19" s="25"/>
      <c r="I19" s="25"/>
      <c r="J19" s="25"/>
      <c r="K19" s="25"/>
      <c r="L19" s="26">
        <f>IF(vMonth=1,1,
IF(vMonth=2,1,
IF(vMonth=3,1,
IF(vMonth=4,1,
IF(vMonth=5,1,
IF(vMonth=6,1,
IF(vMonth=7,1,
IF(vMonth=8,1,
IF(vMonth=9,1,
IF(vMonth=10,1,
IF(vMonth=11,1,
IF(vMonth=12,1,))))))))))))</f>
        <v>1</v>
      </c>
      <c r="M19" s="26">
        <f t="shared" si="1"/>
        <v>1.4333333333333333</v>
      </c>
      <c r="N19" s="26">
        <f>L19*M19</f>
        <v>1.4333333333333333</v>
      </c>
      <c r="O19" s="75"/>
      <c r="P19" s="75">
        <v>1</v>
      </c>
      <c r="Q19" s="75">
        <v>1</v>
      </c>
      <c r="R19" s="75"/>
      <c r="S19" s="76"/>
      <c r="T19" s="76">
        <v>1</v>
      </c>
      <c r="U19" s="76">
        <v>1</v>
      </c>
      <c r="V19" s="76"/>
      <c r="W19" s="76"/>
      <c r="X19" s="76"/>
      <c r="Y19" s="75">
        <v>1</v>
      </c>
      <c r="Z19" s="75">
        <v>1</v>
      </c>
      <c r="AA19" s="75"/>
      <c r="AB19" s="76"/>
      <c r="AC19" s="76"/>
      <c r="AD19" s="76"/>
      <c r="AE19" s="76"/>
      <c r="AF19" s="27">
        <f>SUM(O19:AE19)*vDay</f>
        <v>180</v>
      </c>
      <c r="AG19" s="28">
        <f>SUM(O19:AE19)*F19*N19*vDay</f>
        <v>7740</v>
      </c>
      <c r="AH19" s="29">
        <v>-0.45</v>
      </c>
      <c r="AI19" s="74"/>
      <c r="AJ19" s="30">
        <f>AG19*(1-AH19)</f>
        <v>11223</v>
      </c>
      <c r="AK19" s="31">
        <f>AJ19/AF19</f>
        <v>62.35</v>
      </c>
      <c r="AL19" s="32"/>
      <c r="AM19" s="33"/>
      <c r="AN19" s="25"/>
      <c r="AR19" s="34"/>
      <c r="AS19" s="24"/>
      <c r="AV19" s="34"/>
      <c r="AW19" s="24"/>
      <c r="AY19" s="34"/>
      <c r="AZ19" s="24"/>
    </row>
    <row r="20" spans="1:52" hidden="1" x14ac:dyDescent="0.25">
      <c r="A20" s="35"/>
      <c r="B20" s="36" t="s">
        <v>57</v>
      </c>
      <c r="C20" s="24" t="s">
        <v>44</v>
      </c>
      <c r="D20" s="93"/>
      <c r="E20" s="79">
        <f>25*N20</f>
        <v>40</v>
      </c>
      <c r="F20" s="37">
        <v>75</v>
      </c>
      <c r="G20" s="73"/>
      <c r="H20" s="25"/>
      <c r="I20" s="25"/>
      <c r="J20" s="25"/>
      <c r="K20" s="25"/>
      <c r="L20" s="26">
        <f t="shared" ref="L20" si="14">IF(vMonth=1,1,
IF(vMonth=2,1,
IF(vMonth=3,1,
IF(vMonth=4,1,
IF(vMonth=5,1,
IF(vMonth=6,1,
IF(vMonth=7,1,
IF(vMonth=8,1,
IF(vMonth=9,1,
IF(vMonth=10,1,
IF(vMonth=11,1.1,
IF(vMonth=12,1.2,))))))))))))</f>
        <v>1</v>
      </c>
      <c r="M20" s="26">
        <f t="shared" ref="M20" si="15">vSpot_koef</f>
        <v>1.6</v>
      </c>
      <c r="N20" s="26">
        <f>L20*M20</f>
        <v>1.6</v>
      </c>
      <c r="O20" s="75"/>
      <c r="P20" s="75">
        <v>1</v>
      </c>
      <c r="Q20" s="75">
        <v>1</v>
      </c>
      <c r="R20" s="75"/>
      <c r="S20" s="76"/>
      <c r="T20" s="76">
        <v>1</v>
      </c>
      <c r="U20" s="76">
        <v>1</v>
      </c>
      <c r="V20" s="76"/>
      <c r="W20" s="76"/>
      <c r="X20" s="76"/>
      <c r="Y20" s="75">
        <v>1</v>
      </c>
      <c r="Z20" s="75">
        <v>1</v>
      </c>
      <c r="AA20" s="75"/>
      <c r="AB20" s="76"/>
      <c r="AC20" s="76"/>
      <c r="AD20" s="76"/>
      <c r="AE20" s="76"/>
      <c r="AF20" s="27">
        <f>SUM(O20:AE20)*vDay</f>
        <v>180</v>
      </c>
      <c r="AG20" s="28">
        <f t="shared" si="4"/>
        <v>14400</v>
      </c>
      <c r="AH20" s="29">
        <v>0.7</v>
      </c>
      <c r="AI20" s="74">
        <v>1.1499999999999999</v>
      </c>
      <c r="AJ20" s="30">
        <f t="shared" si="5"/>
        <v>4968.0000000000009</v>
      </c>
      <c r="AK20" s="31">
        <f>AJ20/AF20</f>
        <v>27.600000000000005</v>
      </c>
      <c r="AL20" s="32"/>
      <c r="AM20" s="33"/>
      <c r="AN20" s="25"/>
      <c r="AR20" s="34"/>
      <c r="AS20" s="24"/>
      <c r="AV20" s="34"/>
      <c r="AW20" s="24"/>
      <c r="AY20" s="34"/>
      <c r="AZ20" s="24"/>
    </row>
    <row r="21" spans="1:52" x14ac:dyDescent="0.25">
      <c r="A21" s="35"/>
      <c r="B21" s="36" t="s">
        <v>54</v>
      </c>
      <c r="C21" s="24" t="s">
        <v>66</v>
      </c>
      <c r="D21" s="93">
        <v>7.3200000000000001E-2</v>
      </c>
      <c r="E21" s="79">
        <f>AJ21/AF21</f>
        <v>84.172499999999999</v>
      </c>
      <c r="F21" s="77">
        <f>81/2</f>
        <v>40.5</v>
      </c>
      <c r="G21" s="37"/>
      <c r="H21" s="25"/>
      <c r="I21" s="25"/>
      <c r="J21" s="25"/>
      <c r="K21" s="25"/>
      <c r="L21" s="26">
        <f>IF(vMonth=1,1,
IF(vMonth=2,1,
IF(vMonth=3,1,
IF(vMonth=4,1,
IF(vMonth=5,1,
IF(vMonth=6,1,
IF(vMonth=7,1,
IF(vMonth=8,1,
IF(vMonth=9,1,
IF(vMonth=10,1,
IF(vMonth=11,1,
IF(vMonth=12,1,))))))))))))</f>
        <v>1</v>
      </c>
      <c r="M21" s="26">
        <f>vRolik_len/30</f>
        <v>1.4333333333333333</v>
      </c>
      <c r="N21" s="26">
        <f t="shared" si="2"/>
        <v>1.4333333333333333</v>
      </c>
      <c r="O21" s="75"/>
      <c r="P21" s="75">
        <v>1</v>
      </c>
      <c r="Q21" s="75">
        <v>1</v>
      </c>
      <c r="R21" s="75"/>
      <c r="S21" s="76"/>
      <c r="T21" s="76">
        <v>1</v>
      </c>
      <c r="U21" s="76">
        <v>1</v>
      </c>
      <c r="V21" s="76"/>
      <c r="W21" s="76"/>
      <c r="X21" s="76"/>
      <c r="Y21" s="75">
        <v>1</v>
      </c>
      <c r="Z21" s="75">
        <v>1</v>
      </c>
      <c r="AA21" s="75"/>
      <c r="AB21" s="76"/>
      <c r="AC21" s="76"/>
      <c r="AD21" s="76"/>
      <c r="AE21" s="76"/>
      <c r="AF21" s="27">
        <f t="shared" ref="AF21" si="16">SUM(O21:AE21)*vDay</f>
        <v>180</v>
      </c>
      <c r="AG21" s="28">
        <f>SUM(O21:AE21)*F21*N21*vDay</f>
        <v>10449</v>
      </c>
      <c r="AH21" s="29">
        <v>-0.45</v>
      </c>
      <c r="AI21" s="74"/>
      <c r="AJ21" s="30">
        <f>AG21*(1-AH21)</f>
        <v>15151.05</v>
      </c>
      <c r="AK21" s="31">
        <f t="shared" si="6"/>
        <v>84.172499999999999</v>
      </c>
      <c r="AL21" s="32"/>
      <c r="AM21" s="33"/>
      <c r="AN21" s="25"/>
      <c r="AR21" s="34"/>
      <c r="AS21" s="24"/>
      <c r="AV21" s="34"/>
      <c r="AW21" s="24"/>
      <c r="AY21" s="34"/>
      <c r="AZ21" s="24"/>
    </row>
    <row r="22" spans="1:52" x14ac:dyDescent="0.25">
      <c r="A22" s="22"/>
      <c r="B22" s="23" t="s">
        <v>59</v>
      </c>
      <c r="C22" s="24" t="s">
        <v>25</v>
      </c>
      <c r="D22" s="93">
        <v>3.8100000000000002E-2</v>
      </c>
      <c r="E22" s="79">
        <f>AJ22/AF22</f>
        <v>74.820000000000007</v>
      </c>
      <c r="F22" s="77">
        <f>72/2</f>
        <v>36</v>
      </c>
      <c r="G22" s="37"/>
      <c r="H22" s="25"/>
      <c r="I22" s="25"/>
      <c r="J22" s="25"/>
      <c r="K22" s="25"/>
      <c r="L22" s="26">
        <f>IF(vMonth=1,1,
IF(vMonth=2,1,
IF(vMonth=3,1,
IF(vMonth=4,1,
IF(vMonth=5,1,
IF(vMonth=6,1,
IF(vMonth=7,1,
IF(vMonth=8,1,
IF(vMonth=9,1,
IF(vMonth=10,1,
IF(vMonth=11,1,
IF(vMonth=12,1,))))))))))))</f>
        <v>1</v>
      </c>
      <c r="M22" s="26">
        <f>vRolik_len/30</f>
        <v>1.4333333333333333</v>
      </c>
      <c r="N22" s="26">
        <f t="shared" ref="N22" si="17">L22*M22</f>
        <v>1.4333333333333333</v>
      </c>
      <c r="O22" s="75"/>
      <c r="P22" s="75">
        <v>1</v>
      </c>
      <c r="Q22" s="75">
        <v>1</v>
      </c>
      <c r="R22" s="75"/>
      <c r="S22" s="76"/>
      <c r="T22" s="76">
        <v>1</v>
      </c>
      <c r="U22" s="76">
        <v>1</v>
      </c>
      <c r="V22" s="76"/>
      <c r="W22" s="76"/>
      <c r="X22" s="76"/>
      <c r="Y22" s="75">
        <v>1</v>
      </c>
      <c r="Z22" s="75">
        <v>1</v>
      </c>
      <c r="AA22" s="75"/>
      <c r="AB22" s="76"/>
      <c r="AC22" s="76"/>
      <c r="AD22" s="76"/>
      <c r="AE22" s="76"/>
      <c r="AF22" s="27">
        <f>SUM(O22:AE22)*vDay</f>
        <v>180</v>
      </c>
      <c r="AG22" s="28">
        <f>SUM(O22:AE22)*F22*N22*vDay</f>
        <v>9288</v>
      </c>
      <c r="AH22" s="29">
        <v>-0.45</v>
      </c>
      <c r="AI22" s="74"/>
      <c r="AJ22" s="30">
        <f>AG22*(1-AH22)</f>
        <v>13467.6</v>
      </c>
      <c r="AK22" s="31">
        <f t="shared" ref="AK22:AK26" si="18">AJ22/AF22</f>
        <v>74.820000000000007</v>
      </c>
      <c r="AL22" s="32"/>
      <c r="AM22" s="33"/>
      <c r="AN22" s="25"/>
      <c r="AR22" s="34"/>
      <c r="AS22" s="24"/>
      <c r="AV22" s="34"/>
      <c r="AW22" s="24"/>
      <c r="AY22" s="34"/>
      <c r="AZ22" s="24"/>
    </row>
    <row r="23" spans="1:52" x14ac:dyDescent="0.25">
      <c r="A23" s="22"/>
      <c r="B23" s="23" t="s">
        <v>58</v>
      </c>
      <c r="C23" s="24" t="s">
        <v>65</v>
      </c>
      <c r="D23" s="93" t="s">
        <v>99</v>
      </c>
      <c r="E23" s="79">
        <f>AJ23/AF23</f>
        <v>74.820000000000007</v>
      </c>
      <c r="F23" s="77">
        <f>72/2</f>
        <v>36</v>
      </c>
      <c r="G23" s="37"/>
      <c r="H23" s="25"/>
      <c r="I23" s="25"/>
      <c r="J23" s="25"/>
      <c r="K23" s="25"/>
      <c r="L23" s="26">
        <f>IF(vMonth=1,1,
IF(vMonth=2,1,
IF(vMonth=3,1,
IF(vMonth=4,1,
IF(vMonth=5,1,
IF(vMonth=6,1,
IF(vMonth=7,1,
IF(vMonth=8,1,
IF(vMonth=9,1,
IF(vMonth=10,1,
IF(vMonth=11,1,
IF(vMonth=12,1,))))))))))))</f>
        <v>1</v>
      </c>
      <c r="M23" s="26">
        <f>vRolik_len/30</f>
        <v>1.4333333333333333</v>
      </c>
      <c r="N23" s="26">
        <f t="shared" ref="N23" si="19">L23*M23</f>
        <v>1.4333333333333333</v>
      </c>
      <c r="O23" s="75"/>
      <c r="P23" s="75">
        <v>1</v>
      </c>
      <c r="Q23" s="75">
        <v>1</v>
      </c>
      <c r="R23" s="75"/>
      <c r="S23" s="75"/>
      <c r="T23" s="76">
        <v>1</v>
      </c>
      <c r="U23" s="76">
        <v>1</v>
      </c>
      <c r="V23" s="75"/>
      <c r="W23" s="75"/>
      <c r="X23" s="75"/>
      <c r="Y23" s="75">
        <v>1</v>
      </c>
      <c r="Z23" s="75">
        <v>1</v>
      </c>
      <c r="AA23" s="75"/>
      <c r="AB23" s="75"/>
      <c r="AC23" s="75"/>
      <c r="AD23" s="75"/>
      <c r="AE23" s="75"/>
      <c r="AF23" s="27">
        <f>SUM(O23:AE23)*vDay</f>
        <v>180</v>
      </c>
      <c r="AG23" s="28">
        <f>SUM(O23:AE23)*F23*N23*vDay</f>
        <v>9288</v>
      </c>
      <c r="AH23" s="29">
        <v>-0.45</v>
      </c>
      <c r="AI23" s="74"/>
      <c r="AJ23" s="30">
        <f>AG23*(1-AH23)</f>
        <v>13467.6</v>
      </c>
      <c r="AK23" s="31">
        <f t="shared" ref="AK23:AK25" si="20">AJ23/AF23</f>
        <v>74.820000000000007</v>
      </c>
      <c r="AL23" s="32"/>
      <c r="AM23" s="33"/>
      <c r="AN23" s="25"/>
      <c r="AR23" s="34"/>
      <c r="AS23" s="24"/>
      <c r="AV23" s="34"/>
      <c r="AW23" s="24"/>
      <c r="AY23" s="34"/>
      <c r="AZ23" s="24"/>
    </row>
    <row r="24" spans="1:52" x14ac:dyDescent="0.25">
      <c r="A24" s="22"/>
      <c r="B24" s="23" t="s">
        <v>62</v>
      </c>
      <c r="C24" s="24" t="s">
        <v>61</v>
      </c>
      <c r="D24" s="93" t="s">
        <v>99</v>
      </c>
      <c r="E24" s="79">
        <f>AJ24/AF24</f>
        <v>74.820000000000007</v>
      </c>
      <c r="F24" s="77">
        <f>72/2</f>
        <v>36</v>
      </c>
      <c r="G24" s="37"/>
      <c r="H24" s="25"/>
      <c r="I24" s="25"/>
      <c r="J24" s="25"/>
      <c r="K24" s="25"/>
      <c r="L24" s="26">
        <f>IF(vMonth=1,1,
IF(vMonth=2,1,
IF(vMonth=3,1,
IF(vMonth=4,1,
IF(vMonth=5,1,
IF(vMonth=6,1,
IF(vMonth=7,1,
IF(vMonth=8,1,
IF(vMonth=9,1,
IF(vMonth=10,1,
IF(vMonth=11,1,
IF(vMonth=12,1,))))))))))))</f>
        <v>1</v>
      </c>
      <c r="M24" s="26">
        <f>vRolik_len/30</f>
        <v>1.4333333333333333</v>
      </c>
      <c r="N24" s="26">
        <f t="shared" ref="N24:N25" si="21">L24*M24</f>
        <v>1.4333333333333333</v>
      </c>
      <c r="O24" s="75"/>
      <c r="P24" s="75">
        <v>1</v>
      </c>
      <c r="Q24" s="75">
        <v>1</v>
      </c>
      <c r="R24" s="75"/>
      <c r="S24" s="75"/>
      <c r="T24" s="76">
        <v>1</v>
      </c>
      <c r="U24" s="76">
        <v>1</v>
      </c>
      <c r="V24" s="75"/>
      <c r="W24" s="75"/>
      <c r="X24" s="75"/>
      <c r="Y24" s="75">
        <v>1</v>
      </c>
      <c r="Z24" s="75">
        <v>1</v>
      </c>
      <c r="AA24" s="75"/>
      <c r="AB24" s="75"/>
      <c r="AC24" s="75"/>
      <c r="AD24" s="75"/>
      <c r="AE24" s="75"/>
      <c r="AF24" s="27">
        <f>SUM(O24:AE24)*vDay</f>
        <v>180</v>
      </c>
      <c r="AG24" s="28">
        <f>SUM(O24:AE24)*F24*N24*vDay</f>
        <v>9288</v>
      </c>
      <c r="AH24" s="29">
        <v>-0.45</v>
      </c>
      <c r="AI24" s="74"/>
      <c r="AJ24" s="30">
        <f>AG24*(1-AH24)</f>
        <v>13467.6</v>
      </c>
      <c r="AK24" s="31">
        <f t="shared" si="20"/>
        <v>74.820000000000007</v>
      </c>
      <c r="AL24" s="32"/>
      <c r="AM24" s="33"/>
      <c r="AN24" s="25"/>
      <c r="AR24" s="34"/>
      <c r="AS24" s="24"/>
      <c r="AV24" s="34"/>
      <c r="AW24" s="24"/>
      <c r="AY24" s="34"/>
      <c r="AZ24" s="24"/>
    </row>
    <row r="25" spans="1:52" x14ac:dyDescent="0.25">
      <c r="A25" s="22"/>
      <c r="B25" s="23" t="s">
        <v>63</v>
      </c>
      <c r="C25" s="24" t="s">
        <v>64</v>
      </c>
      <c r="D25" s="93">
        <v>3.4799999999999998E-2</v>
      </c>
      <c r="E25" s="79">
        <f>AJ25/AF25</f>
        <v>71.702500000000001</v>
      </c>
      <c r="F25" s="77">
        <f>69/2</f>
        <v>34.5</v>
      </c>
      <c r="G25" s="37"/>
      <c r="H25" s="25"/>
      <c r="I25" s="25"/>
      <c r="J25" s="25"/>
      <c r="K25" s="25"/>
      <c r="L25" s="26">
        <f>IF(vMonth=1,1,
IF(vMonth=2,1,
IF(vMonth=3,1,
IF(vMonth=4,1,
IF(vMonth=5,1,
IF(vMonth=6,1,
IF(vMonth=7,1,
IF(vMonth=8,1,
IF(vMonth=9,1,
IF(vMonth=10,1,
IF(vMonth=11,1,
IF(vMonth=12,1,))))))))))))</f>
        <v>1</v>
      </c>
      <c r="M25" s="26">
        <f>vRolik_len/30</f>
        <v>1.4333333333333333</v>
      </c>
      <c r="N25" s="26">
        <f t="shared" si="21"/>
        <v>1.4333333333333333</v>
      </c>
      <c r="O25" s="75"/>
      <c r="P25" s="75">
        <v>1</v>
      </c>
      <c r="Q25" s="75">
        <v>1</v>
      </c>
      <c r="R25" s="75"/>
      <c r="S25" s="75"/>
      <c r="T25" s="76">
        <v>1</v>
      </c>
      <c r="U25" s="76">
        <v>1</v>
      </c>
      <c r="V25" s="75"/>
      <c r="W25" s="75"/>
      <c r="X25" s="75"/>
      <c r="Y25" s="75">
        <v>1</v>
      </c>
      <c r="Z25" s="75">
        <v>1</v>
      </c>
      <c r="AA25" s="75"/>
      <c r="AB25" s="75"/>
      <c r="AC25" s="75"/>
      <c r="AD25" s="75"/>
      <c r="AE25" s="75"/>
      <c r="AF25" s="27">
        <f>SUM(O25:AE25)*vDay</f>
        <v>180</v>
      </c>
      <c r="AG25" s="28">
        <f>SUM(O25:AE25)*F25*N25*vDay</f>
        <v>8901</v>
      </c>
      <c r="AH25" s="29">
        <v>-0.45</v>
      </c>
      <c r="AI25" s="74"/>
      <c r="AJ25" s="30">
        <f>AG25*(1-AH25)</f>
        <v>12906.449999999999</v>
      </c>
      <c r="AK25" s="31">
        <f t="shared" si="20"/>
        <v>71.702500000000001</v>
      </c>
      <c r="AL25" s="32"/>
      <c r="AM25" s="33"/>
      <c r="AN25" s="25"/>
      <c r="AR25" s="34"/>
      <c r="AS25" s="24"/>
      <c r="AV25" s="34"/>
      <c r="AW25" s="24"/>
      <c r="AY25" s="34"/>
      <c r="AZ25" s="24"/>
    </row>
    <row r="26" spans="1:52" ht="15.75" x14ac:dyDescent="0.25">
      <c r="A26" s="38"/>
      <c r="B26" s="39"/>
      <c r="C26" s="40" t="s">
        <v>80</v>
      </c>
      <c r="D26" s="41"/>
      <c r="E26" s="41"/>
      <c r="F26" s="42"/>
      <c r="G26" s="43"/>
      <c r="H26" s="44"/>
      <c r="I26" s="45"/>
      <c r="J26" s="46"/>
      <c r="K26" s="46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8" t="s">
        <v>26</v>
      </c>
      <c r="AF26" s="49">
        <f>SUM(AF11:AF23)</f>
        <v>2340</v>
      </c>
      <c r="AG26" s="50">
        <f>SUM(AG11:AG22)</f>
        <v>159009</v>
      </c>
      <c r="AH26" s="51">
        <f>1-AJ26/AG26</f>
        <v>-0.57704658226892813</v>
      </c>
      <c r="AI26" s="51"/>
      <c r="AJ26" s="52">
        <f>SUM(AJ11:AJ25)</f>
        <v>250764.6</v>
      </c>
      <c r="AK26" s="53">
        <f t="shared" si="18"/>
        <v>107.16435897435898</v>
      </c>
    </row>
    <row r="27" spans="1:52" x14ac:dyDescent="0.25">
      <c r="F27" s="54"/>
      <c r="G27" s="55"/>
      <c r="H27" s="56"/>
      <c r="I27" s="57"/>
      <c r="J27" s="46"/>
      <c r="K27" s="46"/>
      <c r="AG27" s="20"/>
      <c r="AH27" s="21"/>
      <c r="AI27" s="21"/>
    </row>
    <row r="28" spans="1:52" ht="14.25" customHeight="1" x14ac:dyDescent="0.25">
      <c r="B28" s="2"/>
      <c r="C28" s="58" t="s">
        <v>82</v>
      </c>
      <c r="D28" s="58"/>
      <c r="F28" s="42"/>
      <c r="G28" s="59"/>
      <c r="H28" s="60"/>
      <c r="I28" s="61"/>
      <c r="J28" s="46"/>
      <c r="K28" s="46"/>
    </row>
    <row r="29" spans="1:52" x14ac:dyDescent="0.25">
      <c r="C29" s="62" t="s">
        <v>83</v>
      </c>
      <c r="D29" s="62"/>
      <c r="E29" s="64"/>
      <c r="F29" s="42"/>
      <c r="G29" s="59"/>
      <c r="H29" s="65"/>
      <c r="I29" s="45"/>
      <c r="J29" s="46"/>
      <c r="K29" s="46"/>
    </row>
    <row r="30" spans="1:52" x14ac:dyDescent="0.25">
      <c r="C30" s="62" t="s">
        <v>21</v>
      </c>
      <c r="D30" s="62"/>
      <c r="E30" s="64"/>
      <c r="F30" s="54"/>
      <c r="G30" s="63"/>
      <c r="H30" s="66"/>
      <c r="I30" s="57"/>
      <c r="J30" s="46"/>
      <c r="K30" s="46"/>
    </row>
    <row r="31" spans="1:52" x14ac:dyDescent="0.25">
      <c r="C31" s="62" t="s">
        <v>22</v>
      </c>
      <c r="D31" s="62"/>
      <c r="E31" s="64"/>
      <c r="F31" s="42"/>
      <c r="G31" s="67"/>
      <c r="H31" s="44"/>
      <c r="I31" s="68"/>
      <c r="J31" s="46"/>
      <c r="K31" s="46"/>
    </row>
    <row r="32" spans="1:52" x14ac:dyDescent="0.25">
      <c r="E32" s="64"/>
      <c r="F32" s="54"/>
      <c r="G32" s="69"/>
      <c r="H32" s="56"/>
      <c r="I32" s="70"/>
      <c r="J32" s="46"/>
      <c r="K32" s="46"/>
    </row>
    <row r="44" spans="3:4" x14ac:dyDescent="0.25">
      <c r="C44" s="71" t="s">
        <v>84</v>
      </c>
      <c r="D44" s="71"/>
    </row>
    <row r="45" spans="3:4" x14ac:dyDescent="0.25">
      <c r="C45" s="71" t="s">
        <v>85</v>
      </c>
      <c r="D45" s="71"/>
    </row>
    <row r="46" spans="3:4" x14ac:dyDescent="0.25">
      <c r="C46" s="71" t="s">
        <v>86</v>
      </c>
      <c r="D46" s="71"/>
    </row>
    <row r="47" spans="3:4" x14ac:dyDescent="0.25">
      <c r="C47" s="71" t="s">
        <v>87</v>
      </c>
      <c r="D47" s="71"/>
    </row>
    <row r="48" spans="3:4" x14ac:dyDescent="0.25">
      <c r="C48" s="71" t="s">
        <v>88</v>
      </c>
      <c r="D48" s="71"/>
    </row>
    <row r="49" spans="3:4" x14ac:dyDescent="0.25">
      <c r="C49" s="71" t="s">
        <v>89</v>
      </c>
      <c r="D49" s="71"/>
    </row>
    <row r="50" spans="3:4" x14ac:dyDescent="0.25">
      <c r="C50" s="71" t="s">
        <v>90</v>
      </c>
      <c r="D50" s="71"/>
    </row>
    <row r="51" spans="3:4" x14ac:dyDescent="0.25">
      <c r="C51" s="71" t="s">
        <v>91</v>
      </c>
      <c r="D51" s="71"/>
    </row>
    <row r="52" spans="3:4" x14ac:dyDescent="0.25">
      <c r="C52" s="71" t="s">
        <v>92</v>
      </c>
      <c r="D52" s="71"/>
    </row>
    <row r="53" spans="3:4" x14ac:dyDescent="0.25">
      <c r="C53" s="71" t="s">
        <v>93</v>
      </c>
      <c r="D53" s="71"/>
    </row>
    <row r="54" spans="3:4" x14ac:dyDescent="0.25">
      <c r="C54" s="71" t="s">
        <v>94</v>
      </c>
      <c r="D54" s="71"/>
    </row>
    <row r="55" spans="3:4" x14ac:dyDescent="0.25">
      <c r="C55" s="71" t="s">
        <v>95</v>
      </c>
      <c r="D55" s="71"/>
    </row>
    <row r="56" spans="3:4" x14ac:dyDescent="0.25">
      <c r="C56" s="82"/>
      <c r="D56" s="82"/>
    </row>
    <row r="57" spans="3:4" x14ac:dyDescent="0.25">
      <c r="C57" s="82"/>
      <c r="D57" s="82"/>
    </row>
    <row r="58" spans="3:4" x14ac:dyDescent="0.25">
      <c r="C58" s="82"/>
      <c r="D58" s="82"/>
    </row>
    <row r="59" spans="3:4" x14ac:dyDescent="0.25">
      <c r="C59" s="72"/>
      <c r="D59" s="72"/>
    </row>
    <row r="60" spans="3:4" x14ac:dyDescent="0.25">
      <c r="C60" s="72"/>
      <c r="D60" s="72"/>
    </row>
    <row r="61" spans="3:4" x14ac:dyDescent="0.25">
      <c r="C61" s="72"/>
      <c r="D61" s="72"/>
    </row>
    <row r="62" spans="3:4" x14ac:dyDescent="0.25">
      <c r="C62" s="24"/>
      <c r="D62" s="24"/>
    </row>
    <row r="63" spans="3:4" x14ac:dyDescent="0.25">
      <c r="C63" s="24"/>
      <c r="D63" s="24"/>
    </row>
    <row r="64" spans="3:4" x14ac:dyDescent="0.25">
      <c r="C64" s="24"/>
      <c r="D64" s="24"/>
    </row>
    <row r="65" spans="3:4" x14ac:dyDescent="0.25">
      <c r="C65" s="24"/>
      <c r="D65" s="24"/>
    </row>
    <row r="66" spans="3:4" x14ac:dyDescent="0.25">
      <c r="C66" s="24"/>
      <c r="D66" s="24"/>
    </row>
    <row r="67" spans="3:4" x14ac:dyDescent="0.25">
      <c r="C67" s="24"/>
      <c r="D67" s="24"/>
    </row>
  </sheetData>
  <sheetProtection formatCells="0" formatRows="0" insertColumns="0" insertRows="0" insertHyperlinks="0" deleteColumns="0" deleteRows="0" sort="0" autoFilter="0" pivotTables="0"/>
  <mergeCells count="13">
    <mergeCell ref="O8:AE8"/>
    <mergeCell ref="C7:C9"/>
    <mergeCell ref="B7:B10"/>
    <mergeCell ref="O2:U2"/>
    <mergeCell ref="O3:U3"/>
    <mergeCell ref="O4:U4"/>
    <mergeCell ref="O7:AE7"/>
    <mergeCell ref="W2:AA2"/>
    <mergeCell ref="W3:AA3"/>
    <mergeCell ref="W4:AA4"/>
    <mergeCell ref="A5:E5"/>
    <mergeCell ref="A4:E4"/>
    <mergeCell ref="A6:F6"/>
  </mergeCells>
  <conditionalFormatting sqref="E11:E19">
    <cfRule type="cellIs" dxfId="22" priority="6" operator="equal">
      <formula>0</formula>
    </cfRule>
  </conditionalFormatting>
  <conditionalFormatting sqref="E21:E25">
    <cfRule type="cellIs" dxfId="21" priority="1" operator="equal">
      <formula>0</formula>
    </cfRule>
  </conditionalFormatting>
  <conditionalFormatting sqref="E11:F12 AL11:AL25">
    <cfRule type="cellIs" dxfId="20" priority="468" operator="equal">
      <formula>0</formula>
    </cfRule>
  </conditionalFormatting>
  <conditionalFormatting sqref="E20:F20 F26:F32">
    <cfRule type="cellIs" dxfId="19" priority="27" operator="equal">
      <formula>0</formula>
    </cfRule>
  </conditionalFormatting>
  <conditionalFormatting sqref="F16:F17">
    <cfRule type="cellIs" dxfId="18" priority="13" operator="equal">
      <formula>0</formula>
    </cfRule>
  </conditionalFormatting>
  <conditionalFormatting sqref="G13:G14">
    <cfRule type="cellIs" dxfId="17" priority="20" operator="equal">
      <formula>0</formula>
    </cfRule>
  </conditionalFormatting>
  <conditionalFormatting sqref="G15 G26:G32">
    <cfRule type="cellIs" dxfId="16" priority="77" operator="equal">
      <formula>0</formula>
    </cfRule>
  </conditionalFormatting>
  <conditionalFormatting sqref="G18">
    <cfRule type="cellIs" dxfId="15" priority="19" operator="equal">
      <formula>0</formula>
    </cfRule>
  </conditionalFormatting>
  <conditionalFormatting sqref="G19:G20">
    <cfRule type="cellIs" dxfId="14" priority="404" operator="equal">
      <formula>0</formula>
    </cfRule>
  </conditionalFormatting>
  <conditionalFormatting sqref="G21:G25">
    <cfRule type="cellIs" dxfId="13" priority="15" operator="equal">
      <formula>0</formula>
    </cfRule>
  </conditionalFormatting>
  <conditionalFormatting sqref="AF11:AK25">
    <cfRule type="cellIs" dxfId="12" priority="76" operator="equal">
      <formula>0</formula>
    </cfRule>
  </conditionalFormatting>
  <conditionalFormatting sqref="AG18">
    <cfRule type="cellIs" dxfId="11" priority="24" operator="equal">
      <formula>0</formula>
    </cfRule>
  </conditionalFormatting>
  <conditionalFormatting sqref="AG23:AG25">
    <cfRule type="cellIs" dxfId="10" priority="32" operator="equal">
      <formula>0</formula>
    </cfRule>
  </conditionalFormatting>
  <conditionalFormatting sqref="AH21:AI22">
    <cfRule type="cellIs" dxfId="9" priority="30" operator="equal">
      <formula>0</formula>
    </cfRule>
  </conditionalFormatting>
  <conditionalFormatting sqref="AH15:AK15">
    <cfRule type="cellIs" dxfId="8" priority="29" operator="equal">
      <formula>0</formula>
    </cfRule>
  </conditionalFormatting>
  <conditionalFormatting sqref="AJ26:AK26">
    <cfRule type="cellIs" dxfId="7" priority="210" operator="equal">
      <formula>0</formula>
    </cfRule>
  </conditionalFormatting>
  <conditionalFormatting sqref="AK11:AK26">
    <cfRule type="containsErrors" dxfId="6" priority="28">
      <formula>ISERROR(AK11)</formula>
    </cfRule>
  </conditionalFormatting>
  <conditionalFormatting sqref="AM11:AM18">
    <cfRule type="cellIs" dxfId="5" priority="25" operator="equal">
      <formula>0</formula>
    </cfRule>
    <cfRule type="cellIs" dxfId="4" priority="26" operator="equal">
      <formula>0</formula>
    </cfRule>
  </conditionalFormatting>
  <conditionalFormatting sqref="AM19:AM25 AF26">
    <cfRule type="cellIs" dxfId="3" priority="235" operator="equal">
      <formula>0</formula>
    </cfRule>
  </conditionalFormatting>
  <conditionalFormatting sqref="AM19:AM25">
    <cfRule type="cellIs" dxfId="2" priority="465" operator="equal">
      <formula>0</formula>
    </cfRule>
  </conditionalFormatting>
  <conditionalFormatting sqref="AM23:AM25">
    <cfRule type="cellIs" dxfId="1" priority="80" operator="equal">
      <formula>0</formula>
    </cfRule>
    <cfRule type="cellIs" dxfId="0" priority="8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72" orientation="landscape" verticalDpi="0" r:id="rId1"/>
  <ignoredErrors>
    <ignoredError sqref="AG26:AH26" formula="1"/>
    <ignoredError sqref="AK26 AK21 AK22" evalError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4" r:id="rId4" name="Drop Down 30">
              <controlPr defaultSize="0" autoLine="0" autoPict="0">
                <anchor moveWithCells="1">
                  <from>
                    <xdr:col>22</xdr:col>
                    <xdr:colOff>0</xdr:colOff>
                    <xdr:row>3</xdr:row>
                    <xdr:rowOff>9525</xdr:rowOff>
                  </from>
                  <to>
                    <xdr:col>26</xdr:col>
                    <xdr:colOff>228600</xdr:colOff>
                    <xdr:row>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Кривой Рог</vt:lpstr>
      <vt:lpstr>'Кривой Рог'!vDay</vt:lpstr>
      <vt:lpstr>vMonth</vt:lpstr>
      <vt:lpstr>vPos</vt:lpstr>
      <vt:lpstr>'Кривой Рог'!vRolik_koef</vt:lpstr>
      <vt:lpstr>'Кривой Рог'!vRolik_len</vt:lpstr>
      <vt:lpstr>'Кривой Рог'!vSec1</vt:lpstr>
      <vt:lpstr>vSpot_koef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Литовченко</dc:creator>
  <cp:lastModifiedBy>Дмитрий Сокольников</cp:lastModifiedBy>
  <dcterms:created xsi:type="dcterms:W3CDTF">2017-07-19T13:26:35Z</dcterms:created>
  <dcterms:modified xsi:type="dcterms:W3CDTF">2025-04-14T13:57:01Z</dcterms:modified>
</cp:coreProperties>
</file>